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hartsheets/sheet1.xml" ContentType="application/vnd.openxmlformats-officedocument.spreadsheetml.chart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029"/>
  <workbookPr autoCompressPictures="0" defaultThemeVersion="124226"/>
  <mc:AlternateContent xmlns:mc="http://schemas.openxmlformats.org/markup-compatibility/2006">
    <mc:Choice Requires="x15">
      <x15ac:absPath xmlns:x15ac="http://schemas.microsoft.com/office/spreadsheetml/2010/11/ac" url="C:\Users\charles.AAIILOCAL\Documents\My Dropbox\AAII\Rebalancing\"/>
    </mc:Choice>
  </mc:AlternateContent>
  <xr:revisionPtr revIDLastSave="0" documentId="13_ncr:1_{FD8BF274-F35A-43C5-9D47-8F5D290D7D21}" xr6:coauthVersionLast="28" xr6:coauthVersionMax="28" xr10:uidLastSave="{00000000-0000-0000-0000-000000000000}"/>
  <bookViews>
    <workbookView xWindow="17100" yWindow="1215" windowWidth="31860" windowHeight="25965" tabRatio="892" firstSheet="2" activeTab="2" xr2:uid="{00000000-000D-0000-FFFF-FFFF00000000}"/>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4% Withdrawals-No Rebalancing" sheetId="9" r:id="rId16"/>
    <sheet name="4% Withdrawals-Rebalanced" sheetId="10" r:id="rId17"/>
    <sheet name="4% Withdrawals-Annual Rebalance" sheetId="20" r:id="rId18"/>
    <sheet name="4% Withdrawals-Panic" sheetId="12" r:id="rId19"/>
    <sheet name="Chart2" sheetId="16" r:id="rId20"/>
    <sheet name="Chart Data" sheetId="14" r:id="rId21"/>
    <sheet name="Panic Chart" sheetId="18" r:id="rId22"/>
  </sheets>
  <definedNames>
    <definedName name="_xlnm.Print_Area" localSheetId="2">Summary!$A$1:$D$29</definedName>
  </definedNames>
  <calcPr calcId="171027"/>
  <extLst>
    <ext xmlns:mx="http://schemas.microsoft.com/office/mac/excel/2008/main" uri="http://schemas.microsoft.com/office/mac/excel/2008/main">
      <mx:ArchID Flags="2"/>
    </ext>
  </extLst>
</workbook>
</file>

<file path=xl/calcChain.xml><?xml version="1.0" encoding="utf-8"?>
<calcChain xmlns="http://schemas.openxmlformats.org/spreadsheetml/2006/main">
  <c r="C29" i="8" l="1"/>
  <c r="C28" i="8"/>
  <c r="C27" i="8" l="1"/>
  <c r="C26" i="8"/>
  <c r="C25" i="8"/>
  <c r="C24" i="8"/>
  <c r="C23" i="8"/>
  <c r="C22" i="8"/>
  <c r="C21" i="8"/>
  <c r="D29" i="8" l="1"/>
  <c r="D28" i="8"/>
  <c r="D27" i="8"/>
  <c r="D26" i="8"/>
  <c r="D25" i="8"/>
  <c r="D24" i="8"/>
  <c r="D23" i="8"/>
  <c r="D22" i="8"/>
  <c r="D21" i="8"/>
  <c r="B29" i="8"/>
  <c r="B28" i="8"/>
  <c r="B27" i="8"/>
  <c r="B26" i="8"/>
  <c r="B25" i="8"/>
  <c r="B24" i="8"/>
  <c r="B23" i="8"/>
  <c r="B22" i="8"/>
  <c r="B21" i="8"/>
  <c r="BD66" i="22"/>
  <c r="BJ46" i="22"/>
  <c r="BI46" i="22"/>
  <c r="BG46" i="22"/>
  <c r="BF46" i="22"/>
  <c r="BD46" i="22"/>
  <c r="BJ45" i="22"/>
  <c r="BI45" i="22"/>
  <c r="BE45" i="22"/>
  <c r="BD45" i="22"/>
  <c r="BJ44" i="22"/>
  <c r="BI44" i="22"/>
  <c r="BE44" i="22"/>
  <c r="BD44" i="22"/>
  <c r="AY44" i="22"/>
  <c r="I77" i="29" l="1"/>
  <c r="I76" i="29"/>
  <c r="I78" i="29" s="1"/>
  <c r="I77" i="26"/>
  <c r="I76" i="26"/>
  <c r="I78" i="26" s="1"/>
  <c r="I77" i="24"/>
  <c r="I76" i="24"/>
  <c r="I78" i="24" s="1"/>
  <c r="I77" i="23"/>
  <c r="I76" i="23"/>
  <c r="I78" i="23" s="1"/>
  <c r="I77" i="21"/>
  <c r="I76" i="21"/>
  <c r="I78" i="21"/>
  <c r="I75" i="28"/>
  <c r="I74" i="28"/>
  <c r="I76" i="28" s="1"/>
  <c r="I75" i="25"/>
  <c r="I74" i="25"/>
  <c r="I76" i="25" s="1"/>
  <c r="I13" i="8"/>
  <c r="I12" i="8"/>
  <c r="I75" i="19"/>
  <c r="I74" i="19"/>
  <c r="I76" i="19" s="1"/>
  <c r="D13" i="8"/>
  <c r="D12" i="8"/>
  <c r="I75" i="7"/>
  <c r="I74" i="7"/>
  <c r="I76" i="7" s="1"/>
  <c r="B13" i="8"/>
  <c r="B12" i="8"/>
  <c r="C13" i="8"/>
  <c r="C12" i="8"/>
  <c r="I75" i="4"/>
  <c r="I74" i="4"/>
  <c r="I76" i="4" s="1"/>
  <c r="I76" i="1"/>
  <c r="I75" i="1"/>
  <c r="I74" i="1"/>
  <c r="AZ56" i="24"/>
  <c r="AY56" i="24"/>
  <c r="AW56" i="24"/>
  <c r="AV56" i="24"/>
  <c r="AT56" i="24"/>
  <c r="AZ50" i="24"/>
  <c r="AY50" i="24"/>
  <c r="AW50" i="24"/>
  <c r="AV50" i="24"/>
  <c r="AT50" i="24"/>
  <c r="AZ49" i="24"/>
  <c r="AT48" i="24"/>
  <c r="AV48" i="24"/>
  <c r="AW48" i="24"/>
  <c r="AY48" i="24"/>
  <c r="AZ48" i="24"/>
  <c r="AY44" i="24"/>
  <c r="AW46" i="24"/>
  <c r="AV46" i="24"/>
  <c r="Y46" i="24"/>
  <c r="S46" i="24"/>
  <c r="X44" i="24"/>
  <c r="V47" i="24"/>
  <c r="U47" i="24"/>
  <c r="V46" i="24"/>
  <c r="U46" i="24"/>
  <c r="G45" i="24"/>
  <c r="X45" i="24" s="1"/>
  <c r="G44" i="24"/>
  <c r="E47" i="24"/>
  <c r="D47" i="24"/>
  <c r="E46" i="24"/>
  <c r="D46" i="24"/>
  <c r="BI44" i="23"/>
  <c r="X44" i="23"/>
  <c r="V46" i="23"/>
  <c r="U46" i="23"/>
  <c r="BJ43" i="22"/>
  <c r="BH43" i="22"/>
  <c r="BE43" i="22"/>
  <c r="BD43" i="22"/>
  <c r="G44" i="22"/>
  <c r="X44" i="22" s="1"/>
  <c r="Y46" i="21"/>
  <c r="S46" i="21"/>
  <c r="X44" i="21"/>
  <c r="U47" i="21"/>
  <c r="V46" i="21"/>
  <c r="U46" i="21"/>
  <c r="G45" i="21"/>
  <c r="X45" i="21" s="1"/>
  <c r="G44" i="21"/>
  <c r="E47" i="21"/>
  <c r="V47" i="21" s="1"/>
  <c r="D47" i="21"/>
  <c r="E46" i="21"/>
  <c r="D46" i="21"/>
  <c r="G13" i="21"/>
  <c r="G12" i="21"/>
  <c r="G11" i="21"/>
  <c r="G10" i="21"/>
  <c r="G9" i="21"/>
  <c r="G8" i="21"/>
  <c r="E14" i="21"/>
  <c r="D14" i="21"/>
  <c r="E13" i="21"/>
  <c r="D13" i="21"/>
  <c r="E12" i="21"/>
  <c r="D12" i="21"/>
  <c r="E11" i="21"/>
  <c r="D11" i="21"/>
  <c r="E10" i="21"/>
  <c r="D10" i="21"/>
  <c r="G45" i="22" l="1"/>
  <c r="AH55" i="7"/>
  <c r="AH49" i="7"/>
  <c r="AG44" i="7"/>
  <c r="AE46" i="7"/>
  <c r="AD46" i="7"/>
  <c r="D47" i="7" s="1"/>
  <c r="AD47" i="7" s="1"/>
  <c r="G45" i="7"/>
  <c r="AG45" i="7" s="1"/>
  <c r="G44" i="7"/>
  <c r="E47" i="7"/>
  <c r="AE47" i="7" s="1"/>
  <c r="E46" i="7"/>
  <c r="D46" i="7"/>
  <c r="AR44" i="19"/>
  <c r="G45" i="19"/>
  <c r="G44" i="19"/>
  <c r="AS61" i="4"/>
  <c r="AR61" i="4"/>
  <c r="AP61" i="4"/>
  <c r="AO61" i="4"/>
  <c r="AM61" i="4"/>
  <c r="AS60" i="4"/>
  <c r="AR60" i="4"/>
  <c r="AP60" i="4"/>
  <c r="AO60" i="4"/>
  <c r="AM60" i="4"/>
  <c r="AS58" i="4"/>
  <c r="AR58" i="4"/>
  <c r="AP58" i="4"/>
  <c r="AO58" i="4"/>
  <c r="AM58" i="4"/>
  <c r="AS57" i="4"/>
  <c r="AR57" i="4"/>
  <c r="AP57" i="4"/>
  <c r="AO57" i="4"/>
  <c r="AM57" i="4"/>
  <c r="AS56" i="4"/>
  <c r="AR56" i="4"/>
  <c r="AP56" i="4"/>
  <c r="AO56" i="4"/>
  <c r="AM56" i="4"/>
  <c r="AS55" i="4"/>
  <c r="AR55" i="4"/>
  <c r="AP55" i="4"/>
  <c r="AO55" i="4"/>
  <c r="AM55" i="4"/>
  <c r="AS54" i="4"/>
  <c r="AR54" i="4"/>
  <c r="AP54" i="4"/>
  <c r="AO54" i="4"/>
  <c r="AM54" i="4"/>
  <c r="AI54" i="4"/>
  <c r="AS53" i="4"/>
  <c r="AR53" i="4"/>
  <c r="AP53" i="4"/>
  <c r="AO53" i="4"/>
  <c r="AM53" i="4"/>
  <c r="AS51" i="4"/>
  <c r="AR51" i="4"/>
  <c r="AP51" i="4"/>
  <c r="AO51" i="4"/>
  <c r="AM51" i="4"/>
  <c r="AS47" i="4"/>
  <c r="AR47" i="4"/>
  <c r="AP47" i="4"/>
  <c r="AO47" i="4"/>
  <c r="AM47" i="4"/>
  <c r="AS45" i="4"/>
  <c r="AR45" i="4"/>
  <c r="AN45" i="4"/>
  <c r="AM45" i="4"/>
  <c r="AS44" i="4"/>
  <c r="AR44" i="4"/>
  <c r="AN44" i="4"/>
  <c r="AM44" i="4"/>
  <c r="AH44" i="4"/>
  <c r="AS43" i="4"/>
  <c r="AQ43" i="4"/>
  <c r="G44" i="4" s="1"/>
  <c r="AN43" i="4"/>
  <c r="AM43" i="4"/>
  <c r="G44" i="1"/>
  <c r="G45" i="1" s="1"/>
  <c r="E46" i="1"/>
  <c r="E47" i="1" s="1"/>
  <c r="D46" i="1"/>
  <c r="D47" i="1" s="1"/>
  <c r="H5" i="24" l="1"/>
  <c r="H6" i="24"/>
  <c r="H7" i="24"/>
  <c r="H8" i="24"/>
  <c r="H9" i="24"/>
  <c r="H10" i="24"/>
  <c r="H11" i="24"/>
  <c r="H12" i="24"/>
  <c r="H13" i="24"/>
  <c r="H14" i="24"/>
  <c r="H15" i="24"/>
  <c r="H16" i="24"/>
  <c r="H17" i="24"/>
  <c r="H18" i="24"/>
  <c r="H19" i="24"/>
  <c r="H20" i="24"/>
  <c r="H21" i="24"/>
  <c r="H22" i="24"/>
  <c r="H23" i="24"/>
  <c r="H24" i="24"/>
  <c r="H25" i="24"/>
  <c r="H26" i="24"/>
  <c r="H27" i="24"/>
  <c r="H28" i="24"/>
  <c r="H29" i="24"/>
  <c r="H30" i="24"/>
  <c r="H31" i="24"/>
  <c r="H32" i="24"/>
  <c r="H33" i="24"/>
  <c r="G33" i="24"/>
  <c r="G32" i="24"/>
  <c r="G31" i="24"/>
  <c r="G30" i="24"/>
  <c r="G29" i="24"/>
  <c r="G28" i="24"/>
  <c r="G27" i="24"/>
  <c r="G26" i="24"/>
  <c r="G25" i="24"/>
  <c r="G24" i="24"/>
  <c r="G23" i="24"/>
  <c r="G22" i="24"/>
  <c r="G21" i="24"/>
  <c r="G20" i="24"/>
  <c r="G19" i="24"/>
  <c r="G18" i="24"/>
  <c r="G17" i="24"/>
  <c r="G16" i="24"/>
  <c r="G15" i="24"/>
  <c r="G14" i="24"/>
  <c r="G13" i="24"/>
  <c r="G12" i="24"/>
  <c r="G11" i="24"/>
  <c r="G10" i="24"/>
  <c r="F5" i="24"/>
  <c r="F6" i="24"/>
  <c r="F7" i="24"/>
  <c r="F8" i="24"/>
  <c r="F9" i="24"/>
  <c r="E33" i="24"/>
  <c r="D33" i="24"/>
  <c r="E32" i="24"/>
  <c r="D32" i="24"/>
  <c r="E31" i="24"/>
  <c r="D31" i="24"/>
  <c r="E30" i="24"/>
  <c r="D30" i="24"/>
  <c r="E29" i="24"/>
  <c r="D29" i="24"/>
  <c r="E28" i="24"/>
  <c r="D28" i="24"/>
  <c r="E27" i="24"/>
  <c r="D27" i="24"/>
  <c r="E26" i="24"/>
  <c r="D26" i="24"/>
  <c r="E25" i="24"/>
  <c r="D25" i="24"/>
  <c r="E24" i="24"/>
  <c r="D24" i="24"/>
  <c r="E23" i="24"/>
  <c r="D23" i="24"/>
  <c r="E22" i="24"/>
  <c r="D22" i="24"/>
  <c r="E21" i="24"/>
  <c r="D21" i="24"/>
  <c r="E20" i="24"/>
  <c r="D20" i="24"/>
  <c r="E19" i="24"/>
  <c r="D19" i="24"/>
  <c r="E18" i="24"/>
  <c r="D18" i="24"/>
  <c r="E17" i="24"/>
  <c r="D17" i="24"/>
  <c r="E16" i="24"/>
  <c r="D16" i="24"/>
  <c r="E15" i="24"/>
  <c r="D15" i="24"/>
  <c r="E14" i="24"/>
  <c r="D14" i="24"/>
  <c r="E13" i="24"/>
  <c r="D13" i="24"/>
  <c r="E12" i="24"/>
  <c r="D12" i="24"/>
  <c r="C5" i="24"/>
  <c r="C6" i="24"/>
  <c r="C7" i="24"/>
  <c r="C8" i="24"/>
  <c r="C9" i="24"/>
  <c r="C10" i="24"/>
  <c r="C11" i="24"/>
  <c r="C12" i="24"/>
  <c r="C13" i="24"/>
  <c r="C14" i="24"/>
  <c r="C15" i="24"/>
  <c r="C16" i="24"/>
  <c r="B5" i="24"/>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G11" i="23"/>
  <c r="G10" i="23"/>
  <c r="F5" i="23"/>
  <c r="F6" i="23"/>
  <c r="F7" i="23"/>
  <c r="F8" i="23"/>
  <c r="F9" i="23"/>
  <c r="A42" i="1"/>
  <c r="O32" i="22"/>
  <c r="N32" i="22"/>
  <c r="O31" i="22"/>
  <c r="N31" i="22"/>
  <c r="O30" i="22"/>
  <c r="N30" i="22"/>
  <c r="O29" i="22"/>
  <c r="N29" i="22"/>
  <c r="O28" i="22"/>
  <c r="N28" i="22"/>
  <c r="O27" i="22"/>
  <c r="N27" i="22"/>
  <c r="O26" i="22"/>
  <c r="N26" i="22"/>
  <c r="O25" i="22"/>
  <c r="N25" i="22"/>
  <c r="O24" i="22"/>
  <c r="N24" i="22"/>
  <c r="O23" i="22"/>
  <c r="N23" i="22"/>
  <c r="O22" i="22"/>
  <c r="N22" i="22"/>
  <c r="O21" i="22"/>
  <c r="N21" i="22"/>
  <c r="O20" i="22"/>
  <c r="N20" i="22"/>
  <c r="O19" i="22"/>
  <c r="N19" i="22"/>
  <c r="O18" i="22"/>
  <c r="N18" i="22"/>
  <c r="O17" i="22"/>
  <c r="N17" i="22"/>
  <c r="O16" i="22"/>
  <c r="N16" i="22"/>
  <c r="O15" i="22"/>
  <c r="N15" i="22"/>
  <c r="O14" i="22"/>
  <c r="N14" i="22"/>
  <c r="O13" i="22"/>
  <c r="N13" i="22"/>
  <c r="O12" i="22"/>
  <c r="N12" i="22"/>
  <c r="O11" i="22"/>
  <c r="N11" i="22"/>
  <c r="O10" i="22"/>
  <c r="N10" i="22"/>
  <c r="O9" i="22"/>
  <c r="N9" i="22"/>
  <c r="O8" i="22"/>
  <c r="N8" i="22"/>
  <c r="O7" i="22"/>
  <c r="N7" i="22"/>
  <c r="O6" i="22"/>
  <c r="N6" i="22"/>
  <c r="O5" i="22"/>
  <c r="N5" i="22"/>
  <c r="O4" i="22"/>
  <c r="N4" i="22"/>
  <c r="E14" i="22" l="1"/>
  <c r="D14" i="22"/>
  <c r="E13" i="22"/>
  <c r="D13" i="22"/>
  <c r="G11" i="22"/>
  <c r="G12" i="22"/>
  <c r="E11" i="28" l="1"/>
  <c r="D11" i="28"/>
  <c r="E10" i="28"/>
  <c r="D10" i="28"/>
  <c r="E13" i="28"/>
  <c r="D13" i="28"/>
  <c r="E12" i="28"/>
  <c r="D12" i="28"/>
  <c r="G9" i="25"/>
  <c r="G10" i="25"/>
  <c r="G11" i="25"/>
  <c r="E11" i="25"/>
  <c r="D11" i="25"/>
  <c r="E12" i="25"/>
  <c r="D12" i="25"/>
  <c r="E13" i="25"/>
  <c r="D13" i="25"/>
  <c r="G9" i="7"/>
  <c r="G10" i="7"/>
  <c r="G11" i="7"/>
  <c r="E11" i="7"/>
  <c r="D11" i="7"/>
  <c r="E12" i="7"/>
  <c r="D12" i="7"/>
  <c r="E13" i="7"/>
  <c r="D13" i="7"/>
  <c r="G10" i="19"/>
  <c r="G11" i="19"/>
  <c r="E11" i="19"/>
  <c r="D11" i="19"/>
  <c r="E12" i="19"/>
  <c r="D12" i="19"/>
  <c r="E13" i="19"/>
  <c r="D13" i="19"/>
  <c r="G9" i="4"/>
  <c r="G10" i="4"/>
  <c r="E11" i="4"/>
  <c r="D11" i="4"/>
  <c r="E12" i="4"/>
  <c r="D12" i="4"/>
  <c r="G11" i="4"/>
  <c r="E13" i="4"/>
  <c r="D13" i="4"/>
  <c r="G12" i="29" l="1"/>
  <c r="E14" i="29"/>
  <c r="D14" i="29"/>
  <c r="G12" i="26" l="1"/>
  <c r="E14" i="26"/>
  <c r="D14" i="26"/>
  <c r="G12" i="23"/>
  <c r="E14" i="23"/>
  <c r="D14" i="23"/>
  <c r="G12" i="28"/>
  <c r="E14" i="28"/>
  <c r="D14" i="28"/>
  <c r="G12" i="25"/>
  <c r="E14" i="25"/>
  <c r="D14" i="25"/>
  <c r="G12" i="7"/>
  <c r="E14" i="7"/>
  <c r="D14" i="7"/>
  <c r="G12" i="19"/>
  <c r="E14" i="19"/>
  <c r="D14" i="19"/>
  <c r="G12"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5" i="4"/>
  <c r="H4" i="4"/>
  <c r="G33" i="4"/>
  <c r="G32" i="4"/>
  <c r="G31" i="4"/>
  <c r="G30" i="4"/>
  <c r="G29" i="4"/>
  <c r="G28" i="4"/>
  <c r="G27" i="4"/>
  <c r="G26" i="4"/>
  <c r="G25" i="4"/>
  <c r="G24" i="4"/>
  <c r="G23" i="4"/>
  <c r="G22" i="4"/>
  <c r="G21" i="4"/>
  <c r="G20" i="4"/>
  <c r="G19" i="4"/>
  <c r="G18" i="4"/>
  <c r="G17" i="4"/>
  <c r="G16" i="4"/>
  <c r="G15" i="4"/>
  <c r="G14" i="4"/>
  <c r="G13" i="4"/>
  <c r="F11" i="4"/>
  <c r="F10" i="4"/>
  <c r="F9" i="4"/>
  <c r="F8" i="4"/>
  <c r="F7" i="4"/>
  <c r="F6" i="4"/>
  <c r="F5" i="4"/>
  <c r="F4" i="4"/>
  <c r="C13" i="4"/>
  <c r="C12" i="4"/>
  <c r="C11" i="4"/>
  <c r="C10" i="4"/>
  <c r="C9" i="4"/>
  <c r="C8" i="4"/>
  <c r="C7" i="4"/>
  <c r="C6" i="4"/>
  <c r="C5" i="4"/>
  <c r="C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E14" i="4"/>
  <c r="D14" i="4"/>
  <c r="I5" i="1" l="1"/>
  <c r="I6" i="1" s="1"/>
  <c r="I7" i="1" s="1"/>
  <c r="I8" i="1" s="1"/>
  <c r="I9" i="1" s="1"/>
  <c r="I10" i="1" s="1"/>
  <c r="I11" i="1" s="1"/>
  <c r="I12" i="1" s="1"/>
  <c r="I13" i="1" s="1"/>
  <c r="I14" i="1" s="1"/>
  <c r="I15" i="1" s="1"/>
  <c r="I16" i="1" s="1"/>
  <c r="I17" i="1" s="1"/>
  <c r="I18" i="1" s="1"/>
  <c r="I19" i="1" s="1"/>
  <c r="I20" i="1" s="1"/>
  <c r="I21" i="1" s="1"/>
  <c r="I22" i="1" s="1"/>
  <c r="I23" i="1" s="1"/>
  <c r="I24" i="1" s="1"/>
  <c r="I25" i="1" s="1"/>
  <c r="I26" i="1" s="1"/>
  <c r="I27" i="1" s="1"/>
  <c r="I28" i="1" s="1"/>
  <c r="O33" i="29" l="1"/>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O3" i="9"/>
  <c r="N3"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8" i="9"/>
  <c r="N18" i="9"/>
  <c r="O17" i="9"/>
  <c r="N17" i="9"/>
  <c r="O16" i="9"/>
  <c r="N16" i="9"/>
  <c r="O15" i="9"/>
  <c r="N15" i="9"/>
  <c r="O14" i="9"/>
  <c r="N14" i="9"/>
  <c r="O13" i="9"/>
  <c r="N13" i="9"/>
  <c r="O12" i="9"/>
  <c r="N12" i="9"/>
  <c r="O11" i="9"/>
  <c r="N11" i="9"/>
  <c r="O10" i="9"/>
  <c r="N10" i="9"/>
  <c r="O9" i="9"/>
  <c r="N9" i="9"/>
  <c r="O8" i="9"/>
  <c r="N8" i="9"/>
  <c r="O7" i="9"/>
  <c r="N7" i="9"/>
  <c r="O6" i="9"/>
  <c r="N6" i="9"/>
  <c r="O5" i="9"/>
  <c r="N5" i="9"/>
  <c r="O4" i="9"/>
  <c r="N4" i="9"/>
  <c r="Y39" i="29"/>
  <c r="X39" i="29"/>
  <c r="W39" i="29"/>
  <c r="V39" i="29"/>
  <c r="U39" i="29"/>
  <c r="T39" i="29"/>
  <c r="S39" i="29"/>
  <c r="R39" i="29"/>
  <c r="I39" i="29"/>
  <c r="Z39" i="29" s="1"/>
  <c r="AM39" i="29" s="1"/>
  <c r="Z38" i="29"/>
  <c r="R38" i="29"/>
  <c r="H33" i="29"/>
  <c r="G33" i="29"/>
  <c r="E33" i="29"/>
  <c r="D33" i="29"/>
  <c r="B33" i="29"/>
  <c r="A33" i="29"/>
  <c r="H32" i="29"/>
  <c r="G32" i="29"/>
  <c r="E32" i="29"/>
  <c r="D32" i="29"/>
  <c r="B32" i="29"/>
  <c r="A32" i="29"/>
  <c r="H31" i="29"/>
  <c r="G31" i="29"/>
  <c r="E31" i="29"/>
  <c r="D31" i="29"/>
  <c r="B31" i="29"/>
  <c r="A31" i="29"/>
  <c r="H30" i="29"/>
  <c r="G30" i="29"/>
  <c r="E30" i="29"/>
  <c r="D30" i="29"/>
  <c r="B30" i="29"/>
  <c r="A30" i="29"/>
  <c r="H29" i="29"/>
  <c r="G29" i="29"/>
  <c r="E29" i="29"/>
  <c r="D29" i="29"/>
  <c r="B29" i="29"/>
  <c r="A29" i="29"/>
  <c r="H28" i="29"/>
  <c r="G28" i="29"/>
  <c r="E28" i="29"/>
  <c r="D28" i="29"/>
  <c r="B28" i="29"/>
  <c r="A28" i="29"/>
  <c r="A64" i="29" s="1"/>
  <c r="H27" i="29"/>
  <c r="G27" i="29"/>
  <c r="E27" i="29"/>
  <c r="D27" i="29"/>
  <c r="B27" i="29"/>
  <c r="A27" i="29"/>
  <c r="A63" i="29" s="1"/>
  <c r="H26" i="29"/>
  <c r="G26" i="29"/>
  <c r="E26" i="29"/>
  <c r="D26" i="29"/>
  <c r="B26" i="29"/>
  <c r="A26" i="29"/>
  <c r="A62" i="29" s="1"/>
  <c r="H25" i="29"/>
  <c r="G25" i="29"/>
  <c r="E25" i="29"/>
  <c r="D25" i="29"/>
  <c r="B25" i="29"/>
  <c r="A25" i="29"/>
  <c r="A61" i="29" s="1"/>
  <c r="H24" i="29"/>
  <c r="G24" i="29"/>
  <c r="E24" i="29"/>
  <c r="D24" i="29"/>
  <c r="B24" i="29"/>
  <c r="A24" i="29"/>
  <c r="A60" i="29" s="1"/>
  <c r="H23" i="29"/>
  <c r="G23" i="29"/>
  <c r="E23" i="29"/>
  <c r="D23" i="29"/>
  <c r="B23" i="29"/>
  <c r="A23" i="29"/>
  <c r="A59" i="29" s="1"/>
  <c r="H22" i="29"/>
  <c r="G22" i="29"/>
  <c r="E22" i="29"/>
  <c r="D22" i="29"/>
  <c r="B22" i="29"/>
  <c r="A22" i="29"/>
  <c r="A58" i="29" s="1"/>
  <c r="H21" i="29"/>
  <c r="G21" i="29"/>
  <c r="E21" i="29"/>
  <c r="D21" i="29"/>
  <c r="B21" i="29"/>
  <c r="A21" i="29"/>
  <c r="A57" i="29" s="1"/>
  <c r="H20" i="29"/>
  <c r="G20" i="29"/>
  <c r="E20" i="29"/>
  <c r="D20" i="29"/>
  <c r="B20" i="29"/>
  <c r="A20" i="29"/>
  <c r="A56" i="29" s="1"/>
  <c r="H19" i="29"/>
  <c r="G19" i="29"/>
  <c r="E19" i="29"/>
  <c r="D19" i="29"/>
  <c r="B19" i="29"/>
  <c r="A19" i="29"/>
  <c r="A55" i="29" s="1"/>
  <c r="H18" i="29"/>
  <c r="G18" i="29"/>
  <c r="E18" i="29"/>
  <c r="D18" i="29"/>
  <c r="B18" i="29"/>
  <c r="A18" i="29"/>
  <c r="A54" i="29" s="1"/>
  <c r="H17" i="29"/>
  <c r="G17" i="29"/>
  <c r="E17" i="29"/>
  <c r="D17" i="29"/>
  <c r="B17" i="29"/>
  <c r="A17" i="29"/>
  <c r="A53" i="29" s="1"/>
  <c r="H16" i="29"/>
  <c r="G16" i="29"/>
  <c r="E16" i="29"/>
  <c r="D16" i="29"/>
  <c r="B16" i="29"/>
  <c r="A16" i="29"/>
  <c r="A52" i="29" s="1"/>
  <c r="H15" i="29"/>
  <c r="G15" i="29"/>
  <c r="E15" i="29"/>
  <c r="D15" i="29"/>
  <c r="B15" i="29"/>
  <c r="A15" i="29"/>
  <c r="A51" i="29" s="1"/>
  <c r="H14" i="29"/>
  <c r="G14" i="29"/>
  <c r="C14" i="29"/>
  <c r="B14" i="29"/>
  <c r="A14" i="29"/>
  <c r="A50" i="29" s="1"/>
  <c r="R50" i="29" s="1"/>
  <c r="H13" i="29"/>
  <c r="G13" i="29"/>
  <c r="C13" i="29"/>
  <c r="B13" i="29"/>
  <c r="A13" i="29"/>
  <c r="A49" i="29" s="1"/>
  <c r="H12" i="29"/>
  <c r="F12" i="29"/>
  <c r="C12" i="29"/>
  <c r="B12" i="29"/>
  <c r="A12" i="29"/>
  <c r="A48" i="29" s="1"/>
  <c r="R48" i="29" s="1"/>
  <c r="H11" i="29"/>
  <c r="F11" i="29"/>
  <c r="C11" i="29"/>
  <c r="B11" i="29"/>
  <c r="A11" i="29"/>
  <c r="A47" i="29" s="1"/>
  <c r="H10" i="29"/>
  <c r="F10" i="29"/>
  <c r="C10" i="29"/>
  <c r="B10" i="29"/>
  <c r="A10" i="29"/>
  <c r="A46" i="29" s="1"/>
  <c r="H9" i="29"/>
  <c r="F9" i="29"/>
  <c r="C9" i="29"/>
  <c r="B9" i="29"/>
  <c r="A9" i="29"/>
  <c r="A45" i="29" s="1"/>
  <c r="H8" i="29"/>
  <c r="F8" i="29"/>
  <c r="C8" i="29"/>
  <c r="B8" i="29"/>
  <c r="A8" i="29"/>
  <c r="A44" i="29" s="1"/>
  <c r="H7" i="29"/>
  <c r="F7" i="29"/>
  <c r="C7" i="29"/>
  <c r="B7" i="29"/>
  <c r="A7" i="29"/>
  <c r="A43" i="29" s="1"/>
  <c r="H6" i="29"/>
  <c r="F6" i="29"/>
  <c r="C6" i="29"/>
  <c r="B6" i="29"/>
  <c r="A6" i="29"/>
  <c r="A42" i="29" s="1"/>
  <c r="H5" i="29"/>
  <c r="F5" i="29"/>
  <c r="C5" i="29"/>
  <c r="B5" i="29"/>
  <c r="A5" i="29"/>
  <c r="A41" i="29" s="1"/>
  <c r="H4" i="29"/>
  <c r="H40" i="29" s="1"/>
  <c r="Y40" i="29" s="1"/>
  <c r="F4" i="29"/>
  <c r="F40" i="29" s="1"/>
  <c r="W40" i="29" s="1"/>
  <c r="C4" i="29"/>
  <c r="C40" i="29" s="1"/>
  <c r="T40" i="29" s="1"/>
  <c r="B4" i="29"/>
  <c r="B40" i="29" s="1"/>
  <c r="A4" i="29"/>
  <c r="A40" i="29" s="1"/>
  <c r="H3" i="29"/>
  <c r="H38" i="29" s="1"/>
  <c r="G3" i="29"/>
  <c r="G38" i="29" s="1"/>
  <c r="F3" i="29"/>
  <c r="F38" i="29" s="1"/>
  <c r="AK38" i="29" s="1"/>
  <c r="E3" i="29"/>
  <c r="E38" i="29" s="1"/>
  <c r="D3" i="29"/>
  <c r="D38" i="29" s="1"/>
  <c r="C3" i="29"/>
  <c r="C38" i="29" s="1"/>
  <c r="B3" i="29"/>
  <c r="B38" i="29" s="1"/>
  <c r="AG38" i="29" s="1"/>
  <c r="A3" i="29"/>
  <c r="H2" i="29"/>
  <c r="H37" i="29" s="1"/>
  <c r="G2" i="29"/>
  <c r="G37" i="29" s="1"/>
  <c r="F2" i="29"/>
  <c r="F37" i="29" s="1"/>
  <c r="E2" i="29"/>
  <c r="E37" i="29" s="1"/>
  <c r="D2" i="29"/>
  <c r="D37" i="29" s="1"/>
  <c r="C2" i="29"/>
  <c r="C37" i="29" s="1"/>
  <c r="B2" i="29"/>
  <c r="B37" i="29" s="1"/>
  <c r="H33" i="28"/>
  <c r="G33" i="28"/>
  <c r="E33" i="28"/>
  <c r="D33" i="28"/>
  <c r="B33" i="28"/>
  <c r="A33" i="28"/>
  <c r="H32" i="28"/>
  <c r="G32" i="28"/>
  <c r="E32" i="28"/>
  <c r="D32" i="28"/>
  <c r="B32" i="28"/>
  <c r="A32" i="28"/>
  <c r="H31" i="28"/>
  <c r="G31" i="28"/>
  <c r="E31" i="28"/>
  <c r="D31" i="28"/>
  <c r="B31" i="28"/>
  <c r="A31" i="28"/>
  <c r="H30" i="28"/>
  <c r="G30" i="28"/>
  <c r="E30" i="28"/>
  <c r="D30" i="28"/>
  <c r="B30" i="28"/>
  <c r="A30" i="28"/>
  <c r="H29" i="28"/>
  <c r="G29" i="28"/>
  <c r="E29" i="28"/>
  <c r="D29" i="28"/>
  <c r="B29" i="28"/>
  <c r="A29" i="28"/>
  <c r="H28" i="28"/>
  <c r="G28" i="28"/>
  <c r="E28" i="28"/>
  <c r="D28" i="28"/>
  <c r="B28" i="28"/>
  <c r="A28" i="28"/>
  <c r="H27" i="28"/>
  <c r="G27" i="28"/>
  <c r="E27" i="28"/>
  <c r="D27" i="28"/>
  <c r="B27" i="28"/>
  <c r="A27" i="28"/>
  <c r="H26" i="28"/>
  <c r="G26" i="28"/>
  <c r="E26" i="28"/>
  <c r="D26" i="28"/>
  <c r="B26" i="28"/>
  <c r="A26" i="28"/>
  <c r="A62" i="28" s="1"/>
  <c r="O62" i="28" s="1"/>
  <c r="H25" i="28"/>
  <c r="G25" i="28"/>
  <c r="E25" i="28"/>
  <c r="D25" i="28"/>
  <c r="B25" i="28"/>
  <c r="A25" i="28"/>
  <c r="A61" i="28" s="1"/>
  <c r="O61" i="28" s="1"/>
  <c r="H24" i="28"/>
  <c r="G24" i="28"/>
  <c r="E24" i="28"/>
  <c r="D24" i="28"/>
  <c r="B24" i="28"/>
  <c r="A24" i="28"/>
  <c r="A60" i="28" s="1"/>
  <c r="O60" i="28" s="1"/>
  <c r="H23" i="28"/>
  <c r="G23" i="28"/>
  <c r="E23" i="28"/>
  <c r="D23" i="28"/>
  <c r="B23" i="28"/>
  <c r="A23" i="28"/>
  <c r="H22" i="28"/>
  <c r="G22" i="28"/>
  <c r="E22" i="28"/>
  <c r="D22" i="28"/>
  <c r="B22" i="28"/>
  <c r="A22" i="28"/>
  <c r="A58" i="28" s="1"/>
  <c r="O58" i="28" s="1"/>
  <c r="H21" i="28"/>
  <c r="G21" i="28"/>
  <c r="E21" i="28"/>
  <c r="D21" i="28"/>
  <c r="B21" i="28"/>
  <c r="A21" i="28"/>
  <c r="H20" i="28"/>
  <c r="G20" i="28"/>
  <c r="E20" i="28"/>
  <c r="D20" i="28"/>
  <c r="B20" i="28"/>
  <c r="A20" i="28"/>
  <c r="H19" i="28"/>
  <c r="G19" i="28"/>
  <c r="E19" i="28"/>
  <c r="D19" i="28"/>
  <c r="B19" i="28"/>
  <c r="A19" i="28"/>
  <c r="A55" i="28" s="1"/>
  <c r="O55" i="28" s="1"/>
  <c r="H18" i="28"/>
  <c r="G18" i="28"/>
  <c r="E18" i="28"/>
  <c r="D18" i="28"/>
  <c r="B18" i="28"/>
  <c r="A18" i="28"/>
  <c r="A54" i="28" s="1"/>
  <c r="O54" i="28" s="1"/>
  <c r="H17" i="28"/>
  <c r="G17" i="28"/>
  <c r="E17" i="28"/>
  <c r="D17" i="28"/>
  <c r="B17" i="28"/>
  <c r="A17" i="28"/>
  <c r="H16" i="28"/>
  <c r="G16" i="28"/>
  <c r="E16" i="28"/>
  <c r="D16" i="28"/>
  <c r="B16" i="28"/>
  <c r="A16" i="28"/>
  <c r="A52" i="28" s="1"/>
  <c r="O52" i="28" s="1"/>
  <c r="H15" i="28"/>
  <c r="G15" i="28"/>
  <c r="E15" i="28"/>
  <c r="D15" i="28"/>
  <c r="B15" i="28"/>
  <c r="A15" i="28"/>
  <c r="H14" i="28"/>
  <c r="G14" i="28"/>
  <c r="C14" i="28"/>
  <c r="B14" i="28"/>
  <c r="A14" i="28"/>
  <c r="A50" i="28" s="1"/>
  <c r="O50" i="28" s="1"/>
  <c r="H13" i="28"/>
  <c r="G13" i="28"/>
  <c r="C13" i="28"/>
  <c r="B13" i="28"/>
  <c r="A13" i="28"/>
  <c r="A49" i="28" s="1"/>
  <c r="O49" i="28" s="1"/>
  <c r="H12" i="28"/>
  <c r="F12" i="28"/>
  <c r="C12" i="28"/>
  <c r="B12" i="28"/>
  <c r="A12" i="28"/>
  <c r="A48" i="28" s="1"/>
  <c r="O48" i="28" s="1"/>
  <c r="H11" i="28"/>
  <c r="F11" i="28"/>
  <c r="C11" i="28"/>
  <c r="B11" i="28"/>
  <c r="A11" i="28"/>
  <c r="H10" i="28"/>
  <c r="F10" i="28"/>
  <c r="C10" i="28"/>
  <c r="B10" i="28"/>
  <c r="A10" i="28"/>
  <c r="A46" i="28" s="1"/>
  <c r="O46" i="28" s="1"/>
  <c r="H9" i="28"/>
  <c r="F9" i="28"/>
  <c r="C9" i="28"/>
  <c r="B9" i="28"/>
  <c r="A9" i="28"/>
  <c r="A45" i="28" s="1"/>
  <c r="O45" i="28" s="1"/>
  <c r="H8" i="28"/>
  <c r="F8" i="28"/>
  <c r="C8" i="28"/>
  <c r="B8" i="28"/>
  <c r="A8" i="28"/>
  <c r="A44" i="28" s="1"/>
  <c r="O44" i="28" s="1"/>
  <c r="H7" i="28"/>
  <c r="F7" i="28"/>
  <c r="C7" i="28"/>
  <c r="B7" i="28"/>
  <c r="A7" i="28"/>
  <c r="A43" i="28" s="1"/>
  <c r="O43" i="28" s="1"/>
  <c r="H6" i="28"/>
  <c r="F6" i="28"/>
  <c r="C6" i="28"/>
  <c r="B6" i="28"/>
  <c r="A6" i="28"/>
  <c r="A42" i="28" s="1"/>
  <c r="O42" i="28" s="1"/>
  <c r="H5" i="28"/>
  <c r="F5" i="28"/>
  <c r="C5" i="28"/>
  <c r="B5" i="28"/>
  <c r="A5" i="28"/>
  <c r="A41" i="28" s="1"/>
  <c r="O41" i="28" s="1"/>
  <c r="H4" i="28"/>
  <c r="H40" i="28" s="1"/>
  <c r="F4" i="28"/>
  <c r="C4" i="28"/>
  <c r="C40" i="28" s="1"/>
  <c r="C41" i="28" s="1"/>
  <c r="B4" i="28"/>
  <c r="B40" i="28" s="1"/>
  <c r="A4" i="28"/>
  <c r="A40" i="28" s="1"/>
  <c r="O40" i="28" s="1"/>
  <c r="H3" i="28"/>
  <c r="G3" i="28"/>
  <c r="F3" i="28"/>
  <c r="F38" i="28" s="1"/>
  <c r="T38" i="28" s="1"/>
  <c r="E3" i="28"/>
  <c r="D3" i="28"/>
  <c r="C3" i="28"/>
  <c r="C38" i="28" s="1"/>
  <c r="Q38" i="28" s="1"/>
  <c r="B3" i="28"/>
  <c r="B38" i="28" s="1"/>
  <c r="P38" i="28" s="1"/>
  <c r="A3" i="28"/>
  <c r="H2" i="28"/>
  <c r="G2" i="28"/>
  <c r="G37" i="28" s="1"/>
  <c r="U37" i="28" s="1"/>
  <c r="F2" i="28"/>
  <c r="F37" i="28" s="1"/>
  <c r="T37" i="28" s="1"/>
  <c r="E2" i="28"/>
  <c r="E37" i="28" s="1"/>
  <c r="S37" i="28" s="1"/>
  <c r="D2" i="28"/>
  <c r="C2" i="28"/>
  <c r="C37" i="28" s="1"/>
  <c r="Q37" i="28" s="1"/>
  <c r="B2" i="28"/>
  <c r="B37" i="28" s="1"/>
  <c r="P37" i="28" s="1"/>
  <c r="A64" i="28"/>
  <c r="O64" i="28" s="1"/>
  <c r="A63" i="28"/>
  <c r="O63" i="28" s="1"/>
  <c r="A59" i="28"/>
  <c r="O59" i="28" s="1"/>
  <c r="A57" i="28"/>
  <c r="O57" i="28" s="1"/>
  <c r="A56" i="28"/>
  <c r="O56" i="28" s="1"/>
  <c r="A53" i="28"/>
  <c r="O53" i="28" s="1"/>
  <c r="A51" i="28"/>
  <c r="O51" i="28" s="1"/>
  <c r="A47" i="28"/>
  <c r="O47" i="28" s="1"/>
  <c r="F40" i="28"/>
  <c r="I39" i="28"/>
  <c r="W39" i="28" s="1"/>
  <c r="H38" i="28"/>
  <c r="V38" i="28" s="1"/>
  <c r="G38" i="28"/>
  <c r="U38" i="28" s="1"/>
  <c r="E38" i="28"/>
  <c r="S38" i="28" s="1"/>
  <c r="D38" i="28"/>
  <c r="R38" i="28" s="1"/>
  <c r="H37" i="28"/>
  <c r="V37" i="28" s="1"/>
  <c r="D37" i="28"/>
  <c r="R37" i="28" s="1"/>
  <c r="F41" i="28" l="1"/>
  <c r="B41" i="28"/>
  <c r="AG39" i="29"/>
  <c r="AK39" i="29"/>
  <c r="AH39" i="29"/>
  <c r="AI37" i="29"/>
  <c r="U37" i="29"/>
  <c r="R47" i="29"/>
  <c r="AF47" i="29"/>
  <c r="N47" i="29"/>
  <c r="AJ37" i="29"/>
  <c r="V37" i="29"/>
  <c r="AJ38" i="29"/>
  <c r="V38" i="29"/>
  <c r="AF40" i="29"/>
  <c r="N40" i="29"/>
  <c r="R40" i="29"/>
  <c r="AF44" i="29"/>
  <c r="N44" i="29"/>
  <c r="R44" i="29"/>
  <c r="AM37" i="29"/>
  <c r="Y37" i="29"/>
  <c r="AM38" i="29"/>
  <c r="Y38" i="29"/>
  <c r="S37" i="29"/>
  <c r="AG37" i="29"/>
  <c r="W37" i="29"/>
  <c r="AK37" i="29"/>
  <c r="I40" i="29"/>
  <c r="O40" i="29" s="1"/>
  <c r="S40" i="29" s="1"/>
  <c r="R41" i="29"/>
  <c r="AF41" i="29"/>
  <c r="N41" i="29"/>
  <c r="R45" i="29"/>
  <c r="N45" i="29"/>
  <c r="AF45" i="29"/>
  <c r="AI38" i="29"/>
  <c r="U38" i="29"/>
  <c r="AF43" i="29"/>
  <c r="N43" i="29"/>
  <c r="R43" i="29"/>
  <c r="T37" i="29"/>
  <c r="AH37" i="29"/>
  <c r="X37" i="29"/>
  <c r="AL37" i="29"/>
  <c r="AH38" i="29"/>
  <c r="T38" i="29"/>
  <c r="AL38" i="29"/>
  <c r="X38" i="29"/>
  <c r="R42" i="29"/>
  <c r="AF42" i="29"/>
  <c r="N42" i="29"/>
  <c r="AF46" i="29"/>
  <c r="R46" i="29"/>
  <c r="N46" i="29"/>
  <c r="S38" i="29"/>
  <c r="AF53" i="29"/>
  <c r="N53" i="29"/>
  <c r="AF54" i="29"/>
  <c r="N54" i="29"/>
  <c r="N55" i="29"/>
  <c r="R55" i="29"/>
  <c r="AF55" i="29"/>
  <c r="N57" i="29"/>
  <c r="R57" i="29"/>
  <c r="AF57" i="29"/>
  <c r="N59" i="29"/>
  <c r="R59" i="29"/>
  <c r="AF59" i="29"/>
  <c r="N61" i="29"/>
  <c r="AF61" i="29"/>
  <c r="R61" i="29"/>
  <c r="N63" i="29"/>
  <c r="AF63" i="29"/>
  <c r="R63" i="29"/>
  <c r="AN39" i="29"/>
  <c r="AF51" i="29"/>
  <c r="N51" i="29"/>
  <c r="AF52" i="29"/>
  <c r="N52" i="29"/>
  <c r="AF48" i="29"/>
  <c r="N48" i="29"/>
  <c r="AF50" i="29"/>
  <c r="W38" i="29"/>
  <c r="AF49" i="29"/>
  <c r="N49" i="29"/>
  <c r="R49" i="29"/>
  <c r="N56" i="29"/>
  <c r="R56" i="29"/>
  <c r="AF56" i="29"/>
  <c r="N58" i="29"/>
  <c r="R58" i="29"/>
  <c r="AF58" i="29"/>
  <c r="N60" i="29"/>
  <c r="AF60" i="29"/>
  <c r="R60" i="29"/>
  <c r="N62" i="29"/>
  <c r="AF62" i="29"/>
  <c r="R62" i="29"/>
  <c r="N64" i="29"/>
  <c r="AF64" i="29"/>
  <c r="R64" i="29"/>
  <c r="N50" i="29"/>
  <c r="R51" i="29"/>
  <c r="R52" i="29"/>
  <c r="R53" i="29"/>
  <c r="R54" i="29"/>
  <c r="Q39" i="28"/>
  <c r="C42" i="28"/>
  <c r="F42" i="28"/>
  <c r="B42" i="28"/>
  <c r="H41" i="28"/>
  <c r="I41" i="28" s="1"/>
  <c r="T39" i="28"/>
  <c r="I40" i="28"/>
  <c r="Q40" i="28" s="1"/>
  <c r="V39" i="28"/>
  <c r="P39" i="28"/>
  <c r="AY39" i="26"/>
  <c r="BI39" i="26" s="1"/>
  <c r="AW39" i="26"/>
  <c r="BG39" i="26" s="1"/>
  <c r="AV39" i="26"/>
  <c r="BF39" i="26" s="1"/>
  <c r="AS39" i="26"/>
  <c r="BC39" i="26" s="1"/>
  <c r="Y39" i="26"/>
  <c r="X39" i="26"/>
  <c r="W39" i="26"/>
  <c r="V39" i="26"/>
  <c r="U39" i="26"/>
  <c r="T39" i="26"/>
  <c r="S39" i="26"/>
  <c r="R39" i="26"/>
  <c r="I39" i="26"/>
  <c r="Z39" i="26" s="1"/>
  <c r="AO39" i="26" s="1"/>
  <c r="BA39" i="26" s="1"/>
  <c r="BK39" i="26" s="1"/>
  <c r="BA38" i="26"/>
  <c r="BK38" i="26" s="1"/>
  <c r="AS38" i="26"/>
  <c r="Z38" i="26"/>
  <c r="R38" i="26"/>
  <c r="O33" i="26"/>
  <c r="N33" i="26"/>
  <c r="H33" i="26"/>
  <c r="G33" i="26"/>
  <c r="E33" i="26"/>
  <c r="D33" i="26"/>
  <c r="B33" i="26"/>
  <c r="A33" i="26"/>
  <c r="O32" i="26"/>
  <c r="N32" i="26"/>
  <c r="H32" i="26"/>
  <c r="G32" i="26"/>
  <c r="E32" i="26"/>
  <c r="D32" i="26"/>
  <c r="B32" i="26"/>
  <c r="A32" i="26"/>
  <c r="O31" i="26"/>
  <c r="N31" i="26"/>
  <c r="H31" i="26"/>
  <c r="G31" i="26"/>
  <c r="E31" i="26"/>
  <c r="D31" i="26"/>
  <c r="B31" i="26"/>
  <c r="A31" i="26"/>
  <c r="O30" i="26"/>
  <c r="N30" i="26"/>
  <c r="H30" i="26"/>
  <c r="G30" i="26"/>
  <c r="E30" i="26"/>
  <c r="D30" i="26"/>
  <c r="B30" i="26"/>
  <c r="A30" i="26"/>
  <c r="O29" i="26"/>
  <c r="N29" i="26"/>
  <c r="H29" i="26"/>
  <c r="G29" i="26"/>
  <c r="E29" i="26"/>
  <c r="D29" i="26"/>
  <c r="B29" i="26"/>
  <c r="A29" i="26"/>
  <c r="O28" i="26"/>
  <c r="N28" i="26"/>
  <c r="H28" i="26"/>
  <c r="G28" i="26"/>
  <c r="E28" i="26"/>
  <c r="D28" i="26"/>
  <c r="B28" i="26"/>
  <c r="A28" i="26"/>
  <c r="A64" i="26" s="1"/>
  <c r="O27" i="26"/>
  <c r="N27" i="26"/>
  <c r="H27" i="26"/>
  <c r="G27" i="26"/>
  <c r="E27" i="26"/>
  <c r="D27" i="26"/>
  <c r="B27" i="26"/>
  <c r="A27" i="26"/>
  <c r="A63" i="26" s="1"/>
  <c r="O26" i="26"/>
  <c r="N26" i="26"/>
  <c r="H26" i="26"/>
  <c r="G26" i="26"/>
  <c r="E26" i="26"/>
  <c r="D26" i="26"/>
  <c r="B26" i="26"/>
  <c r="A26" i="26"/>
  <c r="A62" i="26" s="1"/>
  <c r="O25" i="26"/>
  <c r="N25" i="26"/>
  <c r="H25" i="26"/>
  <c r="G25" i="26"/>
  <c r="E25" i="26"/>
  <c r="D25" i="26"/>
  <c r="B25" i="26"/>
  <c r="A25" i="26"/>
  <c r="A61" i="26" s="1"/>
  <c r="O24" i="26"/>
  <c r="N24" i="26"/>
  <c r="H24" i="26"/>
  <c r="G24" i="26"/>
  <c r="E24" i="26"/>
  <c r="D24" i="26"/>
  <c r="B24" i="26"/>
  <c r="A24" i="26"/>
  <c r="A60" i="26" s="1"/>
  <c r="O23" i="26"/>
  <c r="N23" i="26"/>
  <c r="H23" i="26"/>
  <c r="G23" i="26"/>
  <c r="E23" i="26"/>
  <c r="D23" i="26"/>
  <c r="B23" i="26"/>
  <c r="A23" i="26"/>
  <c r="A59" i="26" s="1"/>
  <c r="O22" i="26"/>
  <c r="N22" i="26"/>
  <c r="H22" i="26"/>
  <c r="G22" i="26"/>
  <c r="E22" i="26"/>
  <c r="D22" i="26"/>
  <c r="B22" i="26"/>
  <c r="A22" i="26"/>
  <c r="A58" i="26" s="1"/>
  <c r="O21" i="26"/>
  <c r="N21" i="26"/>
  <c r="H21" i="26"/>
  <c r="G21" i="26"/>
  <c r="E21" i="26"/>
  <c r="D21" i="26"/>
  <c r="B21" i="26"/>
  <c r="A21" i="26"/>
  <c r="A57" i="26" s="1"/>
  <c r="O20" i="26"/>
  <c r="N20" i="26"/>
  <c r="H20" i="26"/>
  <c r="G20" i="26"/>
  <c r="E20" i="26"/>
  <c r="D20" i="26"/>
  <c r="B20" i="26"/>
  <c r="A20" i="26"/>
  <c r="A56" i="26" s="1"/>
  <c r="O19" i="26"/>
  <c r="N19" i="26"/>
  <c r="H19" i="26"/>
  <c r="G19" i="26"/>
  <c r="E19" i="26"/>
  <c r="D19" i="26"/>
  <c r="B19" i="26"/>
  <c r="A19" i="26"/>
  <c r="A55" i="26" s="1"/>
  <c r="O18" i="26"/>
  <c r="N18" i="26"/>
  <c r="H18" i="26"/>
  <c r="G18" i="26"/>
  <c r="E18" i="26"/>
  <c r="D18" i="26"/>
  <c r="B18" i="26"/>
  <c r="A18" i="26"/>
  <c r="A54" i="26" s="1"/>
  <c r="O17" i="26"/>
  <c r="N17" i="26"/>
  <c r="H17" i="26"/>
  <c r="G17" i="26"/>
  <c r="E17" i="26"/>
  <c r="D17" i="26"/>
  <c r="B17" i="26"/>
  <c r="A17" i="26"/>
  <c r="A53" i="26" s="1"/>
  <c r="O16" i="26"/>
  <c r="N16" i="26"/>
  <c r="H16" i="26"/>
  <c r="G16" i="26"/>
  <c r="E16" i="26"/>
  <c r="D16" i="26"/>
  <c r="B16" i="26"/>
  <c r="A16" i="26"/>
  <c r="A52" i="26" s="1"/>
  <c r="O15" i="26"/>
  <c r="N15" i="26"/>
  <c r="H15" i="26"/>
  <c r="G15" i="26"/>
  <c r="E15" i="26"/>
  <c r="D15" i="26"/>
  <c r="B15" i="26"/>
  <c r="A15" i="26"/>
  <c r="A51" i="26" s="1"/>
  <c r="O14" i="26"/>
  <c r="N14" i="26"/>
  <c r="H14" i="26"/>
  <c r="G14" i="26"/>
  <c r="C14" i="26"/>
  <c r="B14" i="26"/>
  <c r="A14" i="26"/>
  <c r="A50" i="26" s="1"/>
  <c r="R50" i="26" s="1"/>
  <c r="O13" i="26"/>
  <c r="N13" i="26"/>
  <c r="H13" i="26"/>
  <c r="G13" i="26"/>
  <c r="C13" i="26"/>
  <c r="B13" i="26"/>
  <c r="A13" i="26"/>
  <c r="A49" i="26" s="1"/>
  <c r="R49" i="26" s="1"/>
  <c r="O12" i="26"/>
  <c r="N12" i="26"/>
  <c r="H12" i="26"/>
  <c r="F12" i="26"/>
  <c r="C12" i="26"/>
  <c r="B12" i="26"/>
  <c r="A12" i="26"/>
  <c r="A48" i="26" s="1"/>
  <c r="O11" i="26"/>
  <c r="N11" i="26"/>
  <c r="H11" i="26"/>
  <c r="F11" i="26"/>
  <c r="C11" i="26"/>
  <c r="B11" i="26"/>
  <c r="A11" i="26"/>
  <c r="A47" i="26" s="1"/>
  <c r="R47" i="26" s="1"/>
  <c r="O10" i="26"/>
  <c r="N10" i="26"/>
  <c r="H10" i="26"/>
  <c r="F10" i="26"/>
  <c r="C10" i="26"/>
  <c r="B10" i="26"/>
  <c r="A10" i="26"/>
  <c r="A46" i="26" s="1"/>
  <c r="O9" i="26"/>
  <c r="N9" i="26"/>
  <c r="H9" i="26"/>
  <c r="F9" i="26"/>
  <c r="C9" i="26"/>
  <c r="B9" i="26"/>
  <c r="A9" i="26"/>
  <c r="A45" i="26" s="1"/>
  <c r="O8" i="26"/>
  <c r="N8" i="26"/>
  <c r="H8" i="26"/>
  <c r="F8" i="26"/>
  <c r="C8" i="26"/>
  <c r="B8" i="26"/>
  <c r="A8" i="26"/>
  <c r="A44" i="26" s="1"/>
  <c r="O7" i="26"/>
  <c r="N7" i="26"/>
  <c r="H7" i="26"/>
  <c r="F7" i="26"/>
  <c r="C7" i="26"/>
  <c r="B7" i="26"/>
  <c r="A7" i="26"/>
  <c r="A43" i="26" s="1"/>
  <c r="O6" i="26"/>
  <c r="N6" i="26"/>
  <c r="H6" i="26"/>
  <c r="F6" i="26"/>
  <c r="C6" i="26"/>
  <c r="B6" i="26"/>
  <c r="A6" i="26"/>
  <c r="A42" i="26" s="1"/>
  <c r="O5" i="26"/>
  <c r="N5" i="26"/>
  <c r="H5" i="26"/>
  <c r="F5" i="26"/>
  <c r="C5" i="26"/>
  <c r="B5" i="26"/>
  <c r="A5" i="26"/>
  <c r="A41" i="26" s="1"/>
  <c r="R41" i="26" s="1"/>
  <c r="O4" i="26"/>
  <c r="N4" i="26"/>
  <c r="H4" i="26"/>
  <c r="H40" i="26" s="1"/>
  <c r="F4" i="26"/>
  <c r="F40" i="26" s="1"/>
  <c r="C4" i="26"/>
  <c r="C40" i="26" s="1"/>
  <c r="B4" i="26"/>
  <c r="B40" i="26" s="1"/>
  <c r="A4" i="26"/>
  <c r="A40" i="26" s="1"/>
  <c r="O3" i="26"/>
  <c r="N3" i="26"/>
  <c r="H3" i="26"/>
  <c r="H38" i="26" s="1"/>
  <c r="G3" i="26"/>
  <c r="G38" i="26" s="1"/>
  <c r="F3" i="26"/>
  <c r="F38" i="26" s="1"/>
  <c r="E3" i="26"/>
  <c r="E38" i="26" s="1"/>
  <c r="D3" i="26"/>
  <c r="D38" i="26" s="1"/>
  <c r="C3" i="26"/>
  <c r="C38" i="26" s="1"/>
  <c r="B3" i="26"/>
  <c r="B38" i="26" s="1"/>
  <c r="A3" i="26"/>
  <c r="H2" i="26"/>
  <c r="H37" i="26" s="1"/>
  <c r="G2" i="26"/>
  <c r="G37" i="26" s="1"/>
  <c r="X37" i="26" s="1"/>
  <c r="F2" i="26"/>
  <c r="F37" i="26" s="1"/>
  <c r="AL37" i="26" s="1"/>
  <c r="AX37" i="26" s="1"/>
  <c r="BH37" i="26" s="1"/>
  <c r="E2" i="26"/>
  <c r="E37" i="26" s="1"/>
  <c r="D2" i="26"/>
  <c r="D37" i="26" s="1"/>
  <c r="C2" i="26"/>
  <c r="C37" i="26" s="1"/>
  <c r="T37" i="26" s="1"/>
  <c r="B2" i="26"/>
  <c r="B37" i="26" s="1"/>
  <c r="AH37" i="26" s="1"/>
  <c r="AT37" i="26" s="1"/>
  <c r="BD37" i="26" s="1"/>
  <c r="AH39" i="25"/>
  <c r="AR39" i="25" s="1"/>
  <c r="AB39" i="25"/>
  <c r="AL39" i="25" s="1"/>
  <c r="AF39" i="25"/>
  <c r="AP39" i="25" s="1"/>
  <c r="AE39" i="25"/>
  <c r="AO39" i="25" s="1"/>
  <c r="AJ38" i="25"/>
  <c r="AT38" i="25" s="1"/>
  <c r="AB38" i="25"/>
  <c r="H33" i="25"/>
  <c r="G33" i="25"/>
  <c r="E33" i="25"/>
  <c r="D33" i="25"/>
  <c r="B33" i="25"/>
  <c r="A33" i="25"/>
  <c r="H32" i="25"/>
  <c r="G32" i="25"/>
  <c r="E32" i="25"/>
  <c r="D32" i="25"/>
  <c r="B32" i="25"/>
  <c r="A32" i="25"/>
  <c r="H31" i="25"/>
  <c r="G31" i="25"/>
  <c r="E31" i="25"/>
  <c r="D31" i="25"/>
  <c r="B31" i="25"/>
  <c r="A31" i="25"/>
  <c r="H30" i="25"/>
  <c r="G30" i="25"/>
  <c r="E30" i="25"/>
  <c r="D30" i="25"/>
  <c r="B30" i="25"/>
  <c r="A30" i="25"/>
  <c r="H29" i="25"/>
  <c r="G29" i="25"/>
  <c r="E29" i="25"/>
  <c r="D29" i="25"/>
  <c r="B29" i="25"/>
  <c r="A29" i="25"/>
  <c r="H28" i="25"/>
  <c r="G28" i="25"/>
  <c r="E28" i="25"/>
  <c r="D28" i="25"/>
  <c r="B28" i="25"/>
  <c r="A28" i="25"/>
  <c r="A64" i="25" s="1"/>
  <c r="H27" i="25"/>
  <c r="G27" i="25"/>
  <c r="E27" i="25"/>
  <c r="D27" i="25"/>
  <c r="B27" i="25"/>
  <c r="A27" i="25"/>
  <c r="A63" i="25" s="1"/>
  <c r="H26" i="25"/>
  <c r="G26" i="25"/>
  <c r="E26" i="25"/>
  <c r="D26" i="25"/>
  <c r="B26" i="25"/>
  <c r="A26" i="25"/>
  <c r="A62" i="25" s="1"/>
  <c r="O62" i="25" s="1"/>
  <c r="AB62" i="25" s="1"/>
  <c r="H25" i="25"/>
  <c r="G25" i="25"/>
  <c r="E25" i="25"/>
  <c r="D25" i="25"/>
  <c r="B25" i="25"/>
  <c r="A25" i="25"/>
  <c r="A61" i="25" s="1"/>
  <c r="H24" i="25"/>
  <c r="G24" i="25"/>
  <c r="E24" i="25"/>
  <c r="D24" i="25"/>
  <c r="B24" i="25"/>
  <c r="A24" i="25"/>
  <c r="A60" i="25" s="1"/>
  <c r="AL60" i="25" s="1"/>
  <c r="H23" i="25"/>
  <c r="G23" i="25"/>
  <c r="E23" i="25"/>
  <c r="D23" i="25"/>
  <c r="B23" i="25"/>
  <c r="A23" i="25"/>
  <c r="A59" i="25" s="1"/>
  <c r="H22" i="25"/>
  <c r="G22" i="25"/>
  <c r="E22" i="25"/>
  <c r="D22" i="25"/>
  <c r="B22" i="25"/>
  <c r="A22" i="25"/>
  <c r="A58" i="25" s="1"/>
  <c r="H21" i="25"/>
  <c r="G21" i="25"/>
  <c r="E21" i="25"/>
  <c r="D21" i="25"/>
  <c r="B21" i="25"/>
  <c r="A21" i="25"/>
  <c r="A57" i="25" s="1"/>
  <c r="H20" i="25"/>
  <c r="G20" i="25"/>
  <c r="E20" i="25"/>
  <c r="D20" i="25"/>
  <c r="B20" i="25"/>
  <c r="A20" i="25"/>
  <c r="A56" i="25" s="1"/>
  <c r="O56" i="25" s="1"/>
  <c r="AB56" i="25" s="1"/>
  <c r="H19" i="25"/>
  <c r="G19" i="25"/>
  <c r="E19" i="25"/>
  <c r="D19" i="25"/>
  <c r="B19" i="25"/>
  <c r="A19" i="25"/>
  <c r="A55" i="25" s="1"/>
  <c r="H18" i="25"/>
  <c r="G18" i="25"/>
  <c r="E18" i="25"/>
  <c r="D18" i="25"/>
  <c r="B18" i="25"/>
  <c r="A18" i="25"/>
  <c r="A54" i="25" s="1"/>
  <c r="AL54" i="25" s="1"/>
  <c r="H17" i="25"/>
  <c r="G17" i="25"/>
  <c r="E17" i="25"/>
  <c r="D17" i="25"/>
  <c r="B17" i="25"/>
  <c r="A17" i="25"/>
  <c r="A53" i="25" s="1"/>
  <c r="H16" i="25"/>
  <c r="G16" i="25"/>
  <c r="E16" i="25"/>
  <c r="D16" i="25"/>
  <c r="B16" i="25"/>
  <c r="A16" i="25"/>
  <c r="A52" i="25" s="1"/>
  <c r="H15" i="25"/>
  <c r="G15" i="25"/>
  <c r="E15" i="25"/>
  <c r="D15" i="25"/>
  <c r="B15" i="25"/>
  <c r="A15" i="25"/>
  <c r="A51" i="25" s="1"/>
  <c r="AL51" i="25" s="1"/>
  <c r="H14" i="25"/>
  <c r="G14" i="25"/>
  <c r="G50" i="25" s="1"/>
  <c r="C14" i="25"/>
  <c r="B14" i="25"/>
  <c r="A14" i="25"/>
  <c r="A50" i="25" s="1"/>
  <c r="H13" i="25"/>
  <c r="G13" i="25"/>
  <c r="C13" i="25"/>
  <c r="B13" i="25"/>
  <c r="A13" i="25"/>
  <c r="A49" i="25" s="1"/>
  <c r="AL49" i="25" s="1"/>
  <c r="H12" i="25"/>
  <c r="F12" i="25"/>
  <c r="C12" i="25"/>
  <c r="B12" i="25"/>
  <c r="A12" i="25"/>
  <c r="A48" i="25" s="1"/>
  <c r="O48" i="25" s="1"/>
  <c r="AB48" i="25" s="1"/>
  <c r="H11" i="25"/>
  <c r="F11" i="25"/>
  <c r="C11" i="25"/>
  <c r="B11" i="25"/>
  <c r="A11" i="25"/>
  <c r="A47" i="25" s="1"/>
  <c r="AL47" i="25" s="1"/>
  <c r="H10" i="25"/>
  <c r="F10" i="25"/>
  <c r="C10" i="25"/>
  <c r="B10" i="25"/>
  <c r="A10" i="25"/>
  <c r="A46" i="25" s="1"/>
  <c r="H9" i="25"/>
  <c r="F9" i="25"/>
  <c r="C9" i="25"/>
  <c r="B9" i="25"/>
  <c r="A9" i="25"/>
  <c r="A45" i="25" s="1"/>
  <c r="AL45" i="25" s="1"/>
  <c r="H8" i="25"/>
  <c r="F8" i="25"/>
  <c r="C8" i="25"/>
  <c r="B8" i="25"/>
  <c r="A8" i="25"/>
  <c r="A44" i="25" s="1"/>
  <c r="O44" i="25" s="1"/>
  <c r="AB44" i="25" s="1"/>
  <c r="H7" i="25"/>
  <c r="F7" i="25"/>
  <c r="C7" i="25"/>
  <c r="B7" i="25"/>
  <c r="A7" i="25"/>
  <c r="A43" i="25" s="1"/>
  <c r="AL43" i="25" s="1"/>
  <c r="H6" i="25"/>
  <c r="F6" i="25"/>
  <c r="C6" i="25"/>
  <c r="B6" i="25"/>
  <c r="A6" i="25"/>
  <c r="A42" i="25" s="1"/>
  <c r="H5" i="25"/>
  <c r="F5" i="25"/>
  <c r="C5" i="25"/>
  <c r="B5" i="25"/>
  <c r="A5" i="25"/>
  <c r="A41" i="25" s="1"/>
  <c r="AL41" i="25" s="1"/>
  <c r="H4" i="25"/>
  <c r="F4" i="25"/>
  <c r="F40" i="25" s="1"/>
  <c r="C4" i="25"/>
  <c r="C40" i="25" s="1"/>
  <c r="B4" i="25"/>
  <c r="B40" i="25" s="1"/>
  <c r="A4" i="25"/>
  <c r="A40" i="25" s="1"/>
  <c r="O40" i="25" s="1"/>
  <c r="AB40" i="25" s="1"/>
  <c r="H3" i="25"/>
  <c r="H38" i="25" s="1"/>
  <c r="V38" i="25" s="1"/>
  <c r="AI38" i="25" s="1"/>
  <c r="AS38" i="25" s="1"/>
  <c r="G3" i="25"/>
  <c r="G38" i="25" s="1"/>
  <c r="U38" i="25" s="1"/>
  <c r="AH38" i="25" s="1"/>
  <c r="AR38" i="25" s="1"/>
  <c r="F3" i="25"/>
  <c r="F38" i="25" s="1"/>
  <c r="T38" i="25" s="1"/>
  <c r="AG38" i="25" s="1"/>
  <c r="AQ38" i="25" s="1"/>
  <c r="E3" i="25"/>
  <c r="E38" i="25" s="1"/>
  <c r="S38" i="25" s="1"/>
  <c r="AF38" i="25" s="1"/>
  <c r="AP38" i="25" s="1"/>
  <c r="D3" i="25"/>
  <c r="D38" i="25" s="1"/>
  <c r="R38" i="25" s="1"/>
  <c r="AE38" i="25" s="1"/>
  <c r="AO38" i="25" s="1"/>
  <c r="C3" i="25"/>
  <c r="C38" i="25" s="1"/>
  <c r="Q38" i="25" s="1"/>
  <c r="AD38" i="25" s="1"/>
  <c r="AN38" i="25" s="1"/>
  <c r="B3" i="25"/>
  <c r="B38" i="25" s="1"/>
  <c r="P38" i="25" s="1"/>
  <c r="AC38" i="25" s="1"/>
  <c r="AM38" i="25" s="1"/>
  <c r="A3" i="25"/>
  <c r="H2" i="25"/>
  <c r="H37" i="25" s="1"/>
  <c r="V37" i="25" s="1"/>
  <c r="AI37" i="25" s="1"/>
  <c r="AS37" i="25" s="1"/>
  <c r="G2" i="25"/>
  <c r="G37" i="25" s="1"/>
  <c r="U37" i="25" s="1"/>
  <c r="AH37" i="25" s="1"/>
  <c r="AR37" i="25" s="1"/>
  <c r="F2" i="25"/>
  <c r="F37" i="25" s="1"/>
  <c r="T37" i="25" s="1"/>
  <c r="AG37" i="25" s="1"/>
  <c r="AQ37" i="25" s="1"/>
  <c r="E2" i="25"/>
  <c r="E37" i="25" s="1"/>
  <c r="S37" i="25" s="1"/>
  <c r="AF37" i="25" s="1"/>
  <c r="AP37" i="25" s="1"/>
  <c r="D2" i="25"/>
  <c r="D37" i="25" s="1"/>
  <c r="R37" i="25" s="1"/>
  <c r="AE37" i="25" s="1"/>
  <c r="AO37" i="25" s="1"/>
  <c r="C2" i="25"/>
  <c r="C37" i="25" s="1"/>
  <c r="Q37" i="25" s="1"/>
  <c r="AD37" i="25" s="1"/>
  <c r="AN37" i="25" s="1"/>
  <c r="B2" i="25"/>
  <c r="B37" i="25" s="1"/>
  <c r="P37" i="25" s="1"/>
  <c r="AC37" i="25" s="1"/>
  <c r="AM37" i="25" s="1"/>
  <c r="S38" i="26" l="1"/>
  <c r="AH38" i="26"/>
  <c r="AT38" i="26" s="1"/>
  <c r="BD38" i="26" s="1"/>
  <c r="W38" i="26"/>
  <c r="AL38" i="26"/>
  <c r="AX38" i="26" s="1"/>
  <c r="BH38" i="26" s="1"/>
  <c r="AL56" i="25"/>
  <c r="AL62" i="25"/>
  <c r="AG47" i="26"/>
  <c r="AS47" i="26" s="1"/>
  <c r="BC47" i="26" s="1"/>
  <c r="O60" i="25"/>
  <c r="AB60" i="25" s="1"/>
  <c r="J40" i="29"/>
  <c r="K40" i="29" s="1"/>
  <c r="L40" i="29" s="1"/>
  <c r="J41" i="28"/>
  <c r="K41" i="28" s="1"/>
  <c r="L41" i="28" s="1"/>
  <c r="Q41" i="28"/>
  <c r="P41" i="28"/>
  <c r="T41" i="28"/>
  <c r="J40" i="28"/>
  <c r="K40" i="28" s="1"/>
  <c r="L40" i="28" s="1"/>
  <c r="T40" i="28"/>
  <c r="F43" i="28"/>
  <c r="C43" i="28"/>
  <c r="H42" i="28"/>
  <c r="I42" i="28" s="1"/>
  <c r="V41" i="28"/>
  <c r="P40" i="28"/>
  <c r="V40" i="28"/>
  <c r="B43" i="28"/>
  <c r="AL39" i="26"/>
  <c r="AX39" i="26" s="1"/>
  <c r="BH39" i="26" s="1"/>
  <c r="AG48" i="26"/>
  <c r="AS48" i="26" s="1"/>
  <c r="BC48" i="26" s="1"/>
  <c r="N48" i="26"/>
  <c r="R48" i="26"/>
  <c r="AI37" i="26"/>
  <c r="AU37" i="26" s="1"/>
  <c r="BE37" i="26" s="1"/>
  <c r="AK38" i="26"/>
  <c r="AW38" i="26" s="1"/>
  <c r="BG38" i="26" s="1"/>
  <c r="V38" i="26"/>
  <c r="AG42" i="26"/>
  <c r="AS42" i="26" s="1"/>
  <c r="BC42" i="26" s="1"/>
  <c r="N42" i="26"/>
  <c r="S37" i="26"/>
  <c r="AI39" i="26"/>
  <c r="AU39" i="26" s="1"/>
  <c r="BE39" i="26" s="1"/>
  <c r="N41" i="26"/>
  <c r="AI38" i="26"/>
  <c r="AU38" i="26" s="1"/>
  <c r="BE38" i="26" s="1"/>
  <c r="T38" i="26"/>
  <c r="AG40" i="26"/>
  <c r="AS40" i="26" s="1"/>
  <c r="BC40" i="26" s="1"/>
  <c r="N40" i="26"/>
  <c r="AG44" i="26"/>
  <c r="AS44" i="26" s="1"/>
  <c r="BC44" i="26" s="1"/>
  <c r="N44" i="26"/>
  <c r="R44" i="26"/>
  <c r="R45" i="26"/>
  <c r="AG45" i="26"/>
  <c r="AS45" i="26" s="1"/>
  <c r="BC45" i="26" s="1"/>
  <c r="N45" i="26"/>
  <c r="W37" i="26"/>
  <c r="AN39" i="26"/>
  <c r="AZ39" i="26" s="1"/>
  <c r="BJ39" i="26" s="1"/>
  <c r="AM38" i="26"/>
  <c r="AY38" i="26" s="1"/>
  <c r="BI38" i="26" s="1"/>
  <c r="X38" i="26"/>
  <c r="R40" i="26"/>
  <c r="U37" i="26"/>
  <c r="AJ37" i="26"/>
  <c r="AV37" i="26" s="1"/>
  <c r="BF37" i="26" s="1"/>
  <c r="Y37" i="26"/>
  <c r="AN37" i="26"/>
  <c r="AZ37" i="26" s="1"/>
  <c r="BJ37" i="26" s="1"/>
  <c r="AJ38" i="26"/>
  <c r="AV38" i="26" s="1"/>
  <c r="BF38" i="26" s="1"/>
  <c r="U38" i="26"/>
  <c r="AN38" i="26"/>
  <c r="AZ38" i="26" s="1"/>
  <c r="BJ38" i="26" s="1"/>
  <c r="Y38" i="26"/>
  <c r="I40" i="26"/>
  <c r="O40" i="26" s="1"/>
  <c r="Y40" i="26" s="1"/>
  <c r="AG43" i="26"/>
  <c r="AS43" i="26" s="1"/>
  <c r="BC43" i="26" s="1"/>
  <c r="R43" i="26"/>
  <c r="N43" i="26"/>
  <c r="AG58" i="26"/>
  <c r="AS58" i="26" s="1"/>
  <c r="BC58" i="26" s="1"/>
  <c r="R58" i="26"/>
  <c r="N58" i="26"/>
  <c r="V37" i="26"/>
  <c r="AK37" i="26"/>
  <c r="AW37" i="26" s="1"/>
  <c r="BG37" i="26" s="1"/>
  <c r="AM37" i="26"/>
  <c r="AY37" i="26" s="1"/>
  <c r="BI37" i="26" s="1"/>
  <c r="AH39" i="26"/>
  <c r="AT39" i="26" s="1"/>
  <c r="BD39" i="26" s="1"/>
  <c r="AG41" i="26"/>
  <c r="AS41" i="26" s="1"/>
  <c r="BC41" i="26" s="1"/>
  <c r="R42" i="26"/>
  <c r="AG54" i="26"/>
  <c r="AS54" i="26" s="1"/>
  <c r="BC54" i="26" s="1"/>
  <c r="N54" i="26"/>
  <c r="R51" i="26"/>
  <c r="AG51" i="26"/>
  <c r="AS51" i="26" s="1"/>
  <c r="BC51" i="26" s="1"/>
  <c r="N51" i="26"/>
  <c r="R52" i="26"/>
  <c r="AG52" i="26"/>
  <c r="AS52" i="26" s="1"/>
  <c r="BC52" i="26" s="1"/>
  <c r="N53" i="26"/>
  <c r="R53" i="26"/>
  <c r="R55" i="26"/>
  <c r="AG55" i="26"/>
  <c r="AS55" i="26" s="1"/>
  <c r="BC55" i="26" s="1"/>
  <c r="N55" i="26"/>
  <c r="R56" i="26"/>
  <c r="AG56" i="26"/>
  <c r="AS56" i="26" s="1"/>
  <c r="BC56" i="26" s="1"/>
  <c r="N57" i="26"/>
  <c r="R57" i="26"/>
  <c r="N59" i="26"/>
  <c r="AG59" i="26"/>
  <c r="AS59" i="26" s="1"/>
  <c r="BC59" i="26" s="1"/>
  <c r="R59" i="26"/>
  <c r="AG60" i="26"/>
  <c r="AS60" i="26" s="1"/>
  <c r="BC60" i="26" s="1"/>
  <c r="N60" i="26"/>
  <c r="R61" i="26"/>
  <c r="AG61" i="26"/>
  <c r="AS61" i="26" s="1"/>
  <c r="BC61" i="26" s="1"/>
  <c r="N61" i="26"/>
  <c r="R62" i="26"/>
  <c r="AG62" i="26"/>
  <c r="AS62" i="26" s="1"/>
  <c r="BC62" i="26" s="1"/>
  <c r="N62" i="26"/>
  <c r="AG63" i="26"/>
  <c r="AS63" i="26" s="1"/>
  <c r="BC63" i="26" s="1"/>
  <c r="N63" i="26"/>
  <c r="R63" i="26"/>
  <c r="R64" i="26"/>
  <c r="AG64" i="26"/>
  <c r="AS64" i="26" s="1"/>
  <c r="BC64" i="26" s="1"/>
  <c r="N64" i="26"/>
  <c r="N47" i="26"/>
  <c r="AG49" i="26"/>
  <c r="AS49" i="26" s="1"/>
  <c r="BC49" i="26" s="1"/>
  <c r="AG57" i="26"/>
  <c r="AS57" i="26" s="1"/>
  <c r="BC57" i="26" s="1"/>
  <c r="R60" i="26"/>
  <c r="AG46" i="26"/>
  <c r="AS46" i="26" s="1"/>
  <c r="BC46" i="26" s="1"/>
  <c r="N46" i="26"/>
  <c r="AG50" i="26"/>
  <c r="AS50" i="26" s="1"/>
  <c r="BC50" i="26" s="1"/>
  <c r="N50" i="26"/>
  <c r="N49" i="26"/>
  <c r="AG53" i="26"/>
  <c r="AS53" i="26" s="1"/>
  <c r="BC53" i="26" s="1"/>
  <c r="N56" i="26"/>
  <c r="R46" i="26"/>
  <c r="N52" i="26"/>
  <c r="R54" i="26"/>
  <c r="O46" i="25"/>
  <c r="AB46" i="25" s="1"/>
  <c r="AL46" i="25"/>
  <c r="O50" i="25"/>
  <c r="AB50" i="25" s="1"/>
  <c r="AL50" i="25"/>
  <c r="O42" i="25"/>
  <c r="AB42" i="25" s="1"/>
  <c r="AL42" i="25"/>
  <c r="AL53" i="25"/>
  <c r="O53" i="25"/>
  <c r="AB53" i="25" s="1"/>
  <c r="AL58" i="25"/>
  <c r="O58" i="25"/>
  <c r="AB58" i="25" s="1"/>
  <c r="AL59" i="25"/>
  <c r="O59" i="25"/>
  <c r="AB59" i="25" s="1"/>
  <c r="H40" i="25"/>
  <c r="O51" i="25"/>
  <c r="AB51" i="25" s="1"/>
  <c r="AL52" i="25"/>
  <c r="O52" i="25"/>
  <c r="AB52" i="25" s="1"/>
  <c r="AL57" i="25"/>
  <c r="O57" i="25"/>
  <c r="AB57" i="25" s="1"/>
  <c r="AL55" i="25"/>
  <c r="O55" i="25"/>
  <c r="AB55" i="25" s="1"/>
  <c r="AL61" i="25"/>
  <c r="O61" i="25"/>
  <c r="AB61" i="25" s="1"/>
  <c r="O63" i="25"/>
  <c r="AB63" i="25" s="1"/>
  <c r="AL63" i="25"/>
  <c r="O43" i="25"/>
  <c r="AB43" i="25" s="1"/>
  <c r="O47" i="25"/>
  <c r="AB47" i="25" s="1"/>
  <c r="AL40" i="25"/>
  <c r="O41" i="25"/>
  <c r="AB41" i="25" s="1"/>
  <c r="AL44" i="25"/>
  <c r="O45" i="25"/>
  <c r="AB45" i="25" s="1"/>
  <c r="AL48" i="25"/>
  <c r="O49" i="25"/>
  <c r="AB49" i="25" s="1"/>
  <c r="I39" i="25"/>
  <c r="P39" i="25" s="1"/>
  <c r="AL64" i="25"/>
  <c r="O64" i="25"/>
  <c r="AB64" i="25" s="1"/>
  <c r="O54" i="25"/>
  <c r="AB54" i="25" s="1"/>
  <c r="N32" i="24"/>
  <c r="O31" i="23"/>
  <c r="N30" i="24"/>
  <c r="N28" i="24"/>
  <c r="O27" i="23"/>
  <c r="N26" i="24"/>
  <c r="N24" i="24"/>
  <c r="O23" i="23"/>
  <c r="N22" i="24"/>
  <c r="N20" i="24"/>
  <c r="O19" i="23"/>
  <c r="N18" i="24"/>
  <c r="N16" i="24"/>
  <c r="O15" i="23"/>
  <c r="N14" i="24"/>
  <c r="O12" i="23"/>
  <c r="N12" i="23"/>
  <c r="O11" i="23"/>
  <c r="O10" i="24"/>
  <c r="N10" i="23"/>
  <c r="O7" i="24"/>
  <c r="N6" i="24"/>
  <c r="O4" i="23"/>
  <c r="N4" i="23"/>
  <c r="O3" i="23"/>
  <c r="BT39" i="24"/>
  <c r="AY39" i="24" s="1"/>
  <c r="BR39" i="24"/>
  <c r="BQ39" i="24"/>
  <c r="AV39" i="24" s="1"/>
  <c r="BN39" i="24"/>
  <c r="AW39" i="24"/>
  <c r="AN39" i="24"/>
  <c r="BU39" i="24" s="1"/>
  <c r="AZ39" i="24" s="1"/>
  <c r="Y39" i="24"/>
  <c r="X39" i="24"/>
  <c r="W39" i="24"/>
  <c r="V39" i="24"/>
  <c r="U39" i="24"/>
  <c r="T39" i="24"/>
  <c r="S39" i="24"/>
  <c r="R39" i="24"/>
  <c r="AS39" i="24" s="1"/>
  <c r="I39" i="24"/>
  <c r="Z39" i="24" s="1"/>
  <c r="AO39" i="24" s="1"/>
  <c r="BV39" i="24" s="1"/>
  <c r="BA39" i="24" s="1"/>
  <c r="BV38" i="24"/>
  <c r="BN38" i="24"/>
  <c r="BA38" i="24"/>
  <c r="Z38" i="24"/>
  <c r="R38" i="24"/>
  <c r="O33" i="24"/>
  <c r="N33" i="24"/>
  <c r="A33" i="24"/>
  <c r="O32" i="24"/>
  <c r="A32" i="24"/>
  <c r="O31" i="24"/>
  <c r="N31" i="24"/>
  <c r="A31" i="24"/>
  <c r="O30" i="24"/>
  <c r="A30" i="24"/>
  <c r="O29" i="24"/>
  <c r="N29" i="24"/>
  <c r="A29" i="24"/>
  <c r="O28" i="24"/>
  <c r="A28" i="24"/>
  <c r="A64" i="24" s="1"/>
  <c r="AG64" i="24" s="1"/>
  <c r="BN64" i="24" s="1"/>
  <c r="O27" i="24"/>
  <c r="N27" i="24"/>
  <c r="A27" i="24"/>
  <c r="A63" i="24" s="1"/>
  <c r="O26" i="24"/>
  <c r="A26" i="24"/>
  <c r="A62" i="24" s="1"/>
  <c r="O25" i="24"/>
  <c r="N25" i="24"/>
  <c r="A25" i="24"/>
  <c r="A61" i="24" s="1"/>
  <c r="O24" i="24"/>
  <c r="A24" i="24"/>
  <c r="A60" i="24" s="1"/>
  <c r="N60" i="24" s="1"/>
  <c r="O23" i="24"/>
  <c r="N23" i="24"/>
  <c r="A23" i="24"/>
  <c r="A59" i="24" s="1"/>
  <c r="N59" i="24" s="1"/>
  <c r="O22" i="24"/>
  <c r="A22" i="24"/>
  <c r="A58" i="24" s="1"/>
  <c r="O21" i="24"/>
  <c r="N21" i="24"/>
  <c r="A21" i="24"/>
  <c r="A57" i="24" s="1"/>
  <c r="O20" i="24"/>
  <c r="A20" i="24"/>
  <c r="A56" i="24" s="1"/>
  <c r="O19" i="24"/>
  <c r="N19" i="24"/>
  <c r="A19" i="24"/>
  <c r="A55" i="24" s="1"/>
  <c r="R55" i="24" s="1"/>
  <c r="O18" i="24"/>
  <c r="A18" i="24"/>
  <c r="A54" i="24" s="1"/>
  <c r="AG54" i="24" s="1"/>
  <c r="BN54" i="24" s="1"/>
  <c r="O17" i="24"/>
  <c r="N17" i="24"/>
  <c r="A17" i="24"/>
  <c r="A53" i="24" s="1"/>
  <c r="R53" i="24" s="1"/>
  <c r="O16" i="24"/>
  <c r="A16" i="24"/>
  <c r="A52" i="24" s="1"/>
  <c r="O15" i="24"/>
  <c r="N15" i="24"/>
  <c r="A15" i="24"/>
  <c r="A51" i="24" s="1"/>
  <c r="AG51" i="24" s="1"/>
  <c r="BN51" i="24" s="1"/>
  <c r="O14" i="24"/>
  <c r="A14" i="24"/>
  <c r="A50" i="24" s="1"/>
  <c r="AG50" i="24" s="1"/>
  <c r="BN50" i="24" s="1"/>
  <c r="O13" i="24"/>
  <c r="N13" i="24"/>
  <c r="A13" i="24"/>
  <c r="A49" i="24" s="1"/>
  <c r="AG49" i="24" s="1"/>
  <c r="BN49" i="24" s="1"/>
  <c r="O12" i="24"/>
  <c r="N12" i="24"/>
  <c r="A12" i="24"/>
  <c r="A48" i="24" s="1"/>
  <c r="AG48" i="24" s="1"/>
  <c r="BN48" i="24" s="1"/>
  <c r="N11" i="24"/>
  <c r="A11" i="24"/>
  <c r="A47" i="24" s="1"/>
  <c r="A10" i="24"/>
  <c r="A46" i="24" s="1"/>
  <c r="O9" i="24"/>
  <c r="N9" i="24"/>
  <c r="A9" i="24"/>
  <c r="A45" i="24" s="1"/>
  <c r="O8" i="24"/>
  <c r="N8" i="24"/>
  <c r="A8" i="24"/>
  <c r="A44" i="24" s="1"/>
  <c r="AS44" i="24" s="1"/>
  <c r="N7" i="24"/>
  <c r="A7" i="24"/>
  <c r="A43" i="24" s="1"/>
  <c r="AS43" i="24" s="1"/>
  <c r="O6" i="24"/>
  <c r="A6" i="24"/>
  <c r="A42" i="24" s="1"/>
  <c r="O5" i="24"/>
  <c r="N5" i="24"/>
  <c r="A5" i="24"/>
  <c r="A41" i="24" s="1"/>
  <c r="O4" i="24"/>
  <c r="N4" i="24"/>
  <c r="H4" i="24"/>
  <c r="H40" i="24" s="1"/>
  <c r="F4" i="24"/>
  <c r="F40" i="24" s="1"/>
  <c r="C4" i="24"/>
  <c r="C40" i="24" s="1"/>
  <c r="B4" i="24"/>
  <c r="B40" i="24" s="1"/>
  <c r="A4" i="24"/>
  <c r="A40" i="24" s="1"/>
  <c r="N3" i="24"/>
  <c r="H3" i="24"/>
  <c r="H38" i="24" s="1"/>
  <c r="Y38" i="24" s="1"/>
  <c r="G3" i="24"/>
  <c r="G38" i="24" s="1"/>
  <c r="F3" i="24"/>
  <c r="F38" i="24" s="1"/>
  <c r="E3" i="24"/>
  <c r="E38" i="24" s="1"/>
  <c r="D3" i="24"/>
  <c r="D38" i="24" s="1"/>
  <c r="C3" i="24"/>
  <c r="C38" i="24" s="1"/>
  <c r="B3" i="24"/>
  <c r="B38" i="24" s="1"/>
  <c r="A3" i="24"/>
  <c r="H2" i="24"/>
  <c r="H37" i="24" s="1"/>
  <c r="G2" i="24"/>
  <c r="G37" i="24" s="1"/>
  <c r="X37" i="24" s="1"/>
  <c r="F2" i="24"/>
  <c r="F37" i="24" s="1"/>
  <c r="E2" i="24"/>
  <c r="E37" i="24" s="1"/>
  <c r="D2" i="24"/>
  <c r="D37" i="24" s="1"/>
  <c r="AJ37" i="24" s="1"/>
  <c r="BQ37" i="24" s="1"/>
  <c r="AV37" i="24" s="1"/>
  <c r="C2" i="24"/>
  <c r="C37" i="24" s="1"/>
  <c r="T37" i="24" s="1"/>
  <c r="B2" i="24"/>
  <c r="B37" i="24" s="1"/>
  <c r="BG39" i="23"/>
  <c r="AY39" i="23"/>
  <c r="BI39" i="23" s="1"/>
  <c r="AW39" i="23"/>
  <c r="AV39" i="23"/>
  <c r="BF39" i="23" s="1"/>
  <c r="AS39" i="23"/>
  <c r="BC39" i="23" s="1"/>
  <c r="Y39" i="23"/>
  <c r="X39" i="23"/>
  <c r="W39" i="23"/>
  <c r="V39" i="23"/>
  <c r="U39" i="23"/>
  <c r="T39" i="23"/>
  <c r="S39" i="23"/>
  <c r="R39" i="23"/>
  <c r="I39" i="23"/>
  <c r="Z39" i="23" s="1"/>
  <c r="BA38" i="23"/>
  <c r="BK38" i="23" s="1"/>
  <c r="AS38" i="23"/>
  <c r="Z38" i="23"/>
  <c r="R38" i="23"/>
  <c r="O33" i="23"/>
  <c r="N33" i="23"/>
  <c r="H33" i="23"/>
  <c r="G33" i="23"/>
  <c r="E33" i="23"/>
  <c r="D33" i="23"/>
  <c r="B33" i="23"/>
  <c r="A33" i="23"/>
  <c r="O32" i="23"/>
  <c r="N32" i="23"/>
  <c r="H32" i="23"/>
  <c r="G32" i="23"/>
  <c r="E32" i="23"/>
  <c r="D32" i="23"/>
  <c r="B32" i="23"/>
  <c r="A32" i="23"/>
  <c r="N31" i="23"/>
  <c r="H31" i="23"/>
  <c r="G31" i="23"/>
  <c r="E31" i="23"/>
  <c r="D31" i="23"/>
  <c r="B31" i="23"/>
  <c r="A31" i="23"/>
  <c r="O30" i="23"/>
  <c r="N30" i="23"/>
  <c r="H30" i="23"/>
  <c r="G30" i="23"/>
  <c r="E30" i="23"/>
  <c r="D30" i="23"/>
  <c r="B30" i="23"/>
  <c r="A30" i="23"/>
  <c r="O29" i="23"/>
  <c r="N29" i="23"/>
  <c r="H29" i="23"/>
  <c r="G29" i="23"/>
  <c r="E29" i="23"/>
  <c r="D29" i="23"/>
  <c r="B29" i="23"/>
  <c r="A29" i="23"/>
  <c r="O28" i="23"/>
  <c r="N28" i="23"/>
  <c r="H28" i="23"/>
  <c r="G28" i="23"/>
  <c r="E28" i="23"/>
  <c r="D28" i="23"/>
  <c r="B28" i="23"/>
  <c r="A28" i="23"/>
  <c r="A64" i="23" s="1"/>
  <c r="N27" i="23"/>
  <c r="H27" i="23"/>
  <c r="G27" i="23"/>
  <c r="E27" i="23"/>
  <c r="D27" i="23"/>
  <c r="B27" i="23"/>
  <c r="A27" i="23"/>
  <c r="A63" i="23" s="1"/>
  <c r="O26" i="23"/>
  <c r="N26" i="23"/>
  <c r="H26" i="23"/>
  <c r="G26" i="23"/>
  <c r="E26" i="23"/>
  <c r="D26" i="23"/>
  <c r="B26" i="23"/>
  <c r="A26" i="23"/>
  <c r="A62" i="23" s="1"/>
  <c r="O25" i="23"/>
  <c r="N25" i="23"/>
  <c r="H25" i="23"/>
  <c r="G25" i="23"/>
  <c r="E25" i="23"/>
  <c r="D25" i="23"/>
  <c r="B25" i="23"/>
  <c r="A25" i="23"/>
  <c r="A61" i="23" s="1"/>
  <c r="O24" i="23"/>
  <c r="N24" i="23"/>
  <c r="H24" i="23"/>
  <c r="G24" i="23"/>
  <c r="E24" i="23"/>
  <c r="D24" i="23"/>
  <c r="B24" i="23"/>
  <c r="A24" i="23"/>
  <c r="A60" i="23" s="1"/>
  <c r="N23" i="23"/>
  <c r="H23" i="23"/>
  <c r="G23" i="23"/>
  <c r="E23" i="23"/>
  <c r="D23" i="23"/>
  <c r="B23" i="23"/>
  <c r="A23" i="23"/>
  <c r="A59" i="23" s="1"/>
  <c r="O22" i="23"/>
  <c r="N22" i="23"/>
  <c r="H22" i="23"/>
  <c r="G22" i="23"/>
  <c r="E22" i="23"/>
  <c r="D22" i="23"/>
  <c r="B22" i="23"/>
  <c r="A22" i="23"/>
  <c r="A58" i="23" s="1"/>
  <c r="O21" i="23"/>
  <c r="N21" i="23"/>
  <c r="H21" i="23"/>
  <c r="G21" i="23"/>
  <c r="E21" i="23"/>
  <c r="D21" i="23"/>
  <c r="B21" i="23"/>
  <c r="A21" i="23"/>
  <c r="A57" i="23" s="1"/>
  <c r="O20" i="23"/>
  <c r="N20" i="23"/>
  <c r="H20" i="23"/>
  <c r="G20" i="23"/>
  <c r="E20" i="23"/>
  <c r="D20" i="23"/>
  <c r="B20" i="23"/>
  <c r="A20" i="23"/>
  <c r="A56" i="23" s="1"/>
  <c r="N19" i="23"/>
  <c r="H19" i="23"/>
  <c r="G19" i="23"/>
  <c r="E19" i="23"/>
  <c r="D19" i="23"/>
  <c r="B19" i="23"/>
  <c r="A19" i="23"/>
  <c r="A55" i="23" s="1"/>
  <c r="O18" i="23"/>
  <c r="N18" i="23"/>
  <c r="H18" i="23"/>
  <c r="G18" i="23"/>
  <c r="E18" i="23"/>
  <c r="D18" i="23"/>
  <c r="B18" i="23"/>
  <c r="A18" i="23"/>
  <c r="A54" i="23" s="1"/>
  <c r="O17" i="23"/>
  <c r="N17" i="23"/>
  <c r="H17" i="23"/>
  <c r="G17" i="23"/>
  <c r="E17" i="23"/>
  <c r="D17" i="23"/>
  <c r="B17" i="23"/>
  <c r="A17" i="23"/>
  <c r="A53" i="23" s="1"/>
  <c r="O16" i="23"/>
  <c r="N16" i="23"/>
  <c r="H16" i="23"/>
  <c r="G16" i="23"/>
  <c r="E16" i="23"/>
  <c r="D16" i="23"/>
  <c r="B16" i="23"/>
  <c r="A16" i="23"/>
  <c r="A52" i="23" s="1"/>
  <c r="N15" i="23"/>
  <c r="H15" i="23"/>
  <c r="G15" i="23"/>
  <c r="E15" i="23"/>
  <c r="D15" i="23"/>
  <c r="B15" i="23"/>
  <c r="A15" i="23"/>
  <c r="A51" i="23" s="1"/>
  <c r="O14" i="23"/>
  <c r="N14" i="23"/>
  <c r="H14" i="23"/>
  <c r="G14" i="23"/>
  <c r="C14" i="23"/>
  <c r="B14" i="23"/>
  <c r="A14" i="23"/>
  <c r="A50" i="23" s="1"/>
  <c r="O13" i="23"/>
  <c r="N13" i="23"/>
  <c r="H13" i="23"/>
  <c r="G13" i="23"/>
  <c r="C13" i="23"/>
  <c r="B13" i="23"/>
  <c r="A13" i="23"/>
  <c r="A49" i="23" s="1"/>
  <c r="H12" i="23"/>
  <c r="C12" i="23"/>
  <c r="B12" i="23"/>
  <c r="A12" i="23"/>
  <c r="A48" i="23" s="1"/>
  <c r="N11" i="23"/>
  <c r="H11" i="23"/>
  <c r="C11" i="23"/>
  <c r="B11" i="23"/>
  <c r="A11" i="23"/>
  <c r="A47" i="23" s="1"/>
  <c r="O10" i="23"/>
  <c r="H10" i="23"/>
  <c r="C10" i="23"/>
  <c r="B10" i="23"/>
  <c r="A10" i="23"/>
  <c r="A46" i="23" s="1"/>
  <c r="AG46" i="23" s="1"/>
  <c r="AS46" i="23" s="1"/>
  <c r="BC46" i="23" s="1"/>
  <c r="O9" i="23"/>
  <c r="N9" i="23"/>
  <c r="H9" i="23"/>
  <c r="C9" i="23"/>
  <c r="B9" i="23"/>
  <c r="A9" i="23"/>
  <c r="A45" i="23" s="1"/>
  <c r="H8" i="23"/>
  <c r="C8" i="23"/>
  <c r="B8" i="23"/>
  <c r="A8" i="23"/>
  <c r="A44" i="23" s="1"/>
  <c r="N44" i="23" s="1"/>
  <c r="O7" i="23"/>
  <c r="N7" i="23"/>
  <c r="H7" i="23"/>
  <c r="C7" i="23"/>
  <c r="B7" i="23"/>
  <c r="A7" i="23"/>
  <c r="A43" i="23" s="1"/>
  <c r="O6" i="23"/>
  <c r="N6" i="23"/>
  <c r="H6" i="23"/>
  <c r="C6" i="23"/>
  <c r="B6" i="23"/>
  <c r="A6" i="23"/>
  <c r="A42" i="23" s="1"/>
  <c r="O5" i="23"/>
  <c r="N5" i="23"/>
  <c r="H5" i="23"/>
  <c r="C5" i="23"/>
  <c r="B5" i="23"/>
  <c r="A5" i="23"/>
  <c r="A41" i="23" s="1"/>
  <c r="H4" i="23"/>
  <c r="H40" i="23" s="1"/>
  <c r="F4" i="23"/>
  <c r="F40" i="23" s="1"/>
  <c r="C4" i="23"/>
  <c r="C40" i="23" s="1"/>
  <c r="B4" i="23"/>
  <c r="B40" i="23" s="1"/>
  <c r="A4" i="23"/>
  <c r="A40" i="23" s="1"/>
  <c r="N3" i="23"/>
  <c r="H3" i="23"/>
  <c r="H38" i="23" s="1"/>
  <c r="Y38" i="23" s="1"/>
  <c r="G3" i="23"/>
  <c r="G38" i="23" s="1"/>
  <c r="F3" i="23"/>
  <c r="F38" i="23" s="1"/>
  <c r="W38" i="23" s="1"/>
  <c r="E3" i="23"/>
  <c r="E38" i="23" s="1"/>
  <c r="D3" i="23"/>
  <c r="D38" i="23" s="1"/>
  <c r="C3" i="23"/>
  <c r="C38" i="23" s="1"/>
  <c r="AI38" i="23" s="1"/>
  <c r="AU38" i="23" s="1"/>
  <c r="BE38" i="23" s="1"/>
  <c r="B3" i="23"/>
  <c r="B38" i="23" s="1"/>
  <c r="A3" i="23"/>
  <c r="H2" i="23"/>
  <c r="H37" i="23" s="1"/>
  <c r="G2" i="23"/>
  <c r="G37" i="23" s="1"/>
  <c r="AM37" i="23" s="1"/>
  <c r="AY37" i="23" s="1"/>
  <c r="BI37" i="23" s="1"/>
  <c r="F2" i="23"/>
  <c r="F37" i="23" s="1"/>
  <c r="E2" i="23"/>
  <c r="E37" i="23" s="1"/>
  <c r="AK37" i="23" s="1"/>
  <c r="AW37" i="23" s="1"/>
  <c r="BG37" i="23" s="1"/>
  <c r="D2" i="23"/>
  <c r="D37" i="23" s="1"/>
  <c r="U37" i="23" s="1"/>
  <c r="C2" i="23"/>
  <c r="C37" i="23" s="1"/>
  <c r="B2" i="23"/>
  <c r="B37" i="23" s="1"/>
  <c r="AY39" i="22"/>
  <c r="BI39" i="22" s="1"/>
  <c r="AW39" i="22"/>
  <c r="BG39" i="22" s="1"/>
  <c r="AV39" i="22"/>
  <c r="BF39" i="22" s="1"/>
  <c r="AS39" i="22"/>
  <c r="BC39" i="22" s="1"/>
  <c r="Y39" i="22"/>
  <c r="X39" i="22"/>
  <c r="W39" i="22"/>
  <c r="V39" i="22"/>
  <c r="U39" i="22"/>
  <c r="T39" i="22"/>
  <c r="S39" i="22"/>
  <c r="R39" i="22"/>
  <c r="I39" i="22"/>
  <c r="Z39" i="22" s="1"/>
  <c r="AH39" i="22" s="1"/>
  <c r="AT39" i="22" s="1"/>
  <c r="BD39" i="22" s="1"/>
  <c r="BA38" i="22"/>
  <c r="BK38" i="22" s="1"/>
  <c r="AS38" i="22"/>
  <c r="Z38" i="22"/>
  <c r="R38" i="22"/>
  <c r="O33" i="22"/>
  <c r="N33" i="22"/>
  <c r="H33" i="22"/>
  <c r="G33" i="22"/>
  <c r="E33" i="22"/>
  <c r="D33" i="22"/>
  <c r="B33" i="22"/>
  <c r="A33" i="22"/>
  <c r="H32" i="22"/>
  <c r="G32" i="22"/>
  <c r="E32" i="22"/>
  <c r="D32" i="22"/>
  <c r="B32" i="22"/>
  <c r="A32" i="22"/>
  <c r="H31" i="22"/>
  <c r="G31" i="22"/>
  <c r="E31" i="22"/>
  <c r="D31" i="22"/>
  <c r="B31" i="22"/>
  <c r="A31" i="22"/>
  <c r="H30" i="22"/>
  <c r="G30" i="22"/>
  <c r="E30" i="22"/>
  <c r="D30" i="22"/>
  <c r="B30" i="22"/>
  <c r="A30" i="22"/>
  <c r="H29" i="22"/>
  <c r="G29" i="22"/>
  <c r="E29" i="22"/>
  <c r="D29" i="22"/>
  <c r="B29" i="22"/>
  <c r="A29" i="22"/>
  <c r="H28" i="22"/>
  <c r="G28" i="22"/>
  <c r="E28" i="22"/>
  <c r="D28" i="22"/>
  <c r="B28" i="22"/>
  <c r="A28" i="22"/>
  <c r="A64" i="22" s="1"/>
  <c r="H27" i="22"/>
  <c r="G27" i="22"/>
  <c r="E27" i="22"/>
  <c r="D27" i="22"/>
  <c r="B27" i="22"/>
  <c r="A27" i="22"/>
  <c r="A63" i="22" s="1"/>
  <c r="H26" i="22"/>
  <c r="G26" i="22"/>
  <c r="E26" i="22"/>
  <c r="D26" i="22"/>
  <c r="B26" i="22"/>
  <c r="A26" i="22"/>
  <c r="A62" i="22" s="1"/>
  <c r="H25" i="22"/>
  <c r="G25" i="22"/>
  <c r="E25" i="22"/>
  <c r="D25" i="22"/>
  <c r="B25" i="22"/>
  <c r="A25" i="22"/>
  <c r="A61" i="22" s="1"/>
  <c r="R61" i="22" s="1"/>
  <c r="H24" i="22"/>
  <c r="G24" i="22"/>
  <c r="E24" i="22"/>
  <c r="D24" i="22"/>
  <c r="B24" i="22"/>
  <c r="A24" i="22"/>
  <c r="A60" i="22" s="1"/>
  <c r="H23" i="22"/>
  <c r="G23" i="22"/>
  <c r="E23" i="22"/>
  <c r="D23" i="22"/>
  <c r="B23" i="22"/>
  <c r="A23" i="22"/>
  <c r="A59" i="22" s="1"/>
  <c r="H22" i="22"/>
  <c r="G22" i="22"/>
  <c r="E22" i="22"/>
  <c r="D22" i="22"/>
  <c r="B22" i="22"/>
  <c r="A22" i="22"/>
  <c r="A58" i="22" s="1"/>
  <c r="H21" i="22"/>
  <c r="G21" i="22"/>
  <c r="E21" i="22"/>
  <c r="D21" i="22"/>
  <c r="B21" i="22"/>
  <c r="A21" i="22"/>
  <c r="A57" i="22" s="1"/>
  <c r="AG57" i="22" s="1"/>
  <c r="AS57" i="22" s="1"/>
  <c r="BC57" i="22" s="1"/>
  <c r="H20" i="22"/>
  <c r="G20" i="22"/>
  <c r="E20" i="22"/>
  <c r="D20" i="22"/>
  <c r="B20" i="22"/>
  <c r="A20" i="22"/>
  <c r="A56" i="22" s="1"/>
  <c r="H19" i="22"/>
  <c r="G19" i="22"/>
  <c r="E19" i="22"/>
  <c r="D19" i="22"/>
  <c r="B19" i="22"/>
  <c r="A19" i="22"/>
  <c r="A55" i="22" s="1"/>
  <c r="H18" i="22"/>
  <c r="G18" i="22"/>
  <c r="E18" i="22"/>
  <c r="D18" i="22"/>
  <c r="B18" i="22"/>
  <c r="A18" i="22"/>
  <c r="A54" i="22" s="1"/>
  <c r="H17" i="22"/>
  <c r="G17" i="22"/>
  <c r="E17" i="22"/>
  <c r="D17" i="22"/>
  <c r="B17" i="22"/>
  <c r="A17" i="22"/>
  <c r="A53" i="22" s="1"/>
  <c r="H16" i="22"/>
  <c r="G16" i="22"/>
  <c r="E16" i="22"/>
  <c r="D16" i="22"/>
  <c r="B16" i="22"/>
  <c r="A16" i="22"/>
  <c r="A52" i="22" s="1"/>
  <c r="H15" i="22"/>
  <c r="G15" i="22"/>
  <c r="E15" i="22"/>
  <c r="D15" i="22"/>
  <c r="B15" i="22"/>
  <c r="A15" i="22"/>
  <c r="A51" i="22" s="1"/>
  <c r="R51" i="22" s="1"/>
  <c r="H14" i="22"/>
  <c r="G14" i="22"/>
  <c r="B14" i="22"/>
  <c r="A14" i="22"/>
  <c r="A50" i="22" s="1"/>
  <c r="H13" i="22"/>
  <c r="G13" i="22"/>
  <c r="B13" i="22"/>
  <c r="A13" i="22"/>
  <c r="A49" i="22" s="1"/>
  <c r="N49" i="22" s="1"/>
  <c r="H12" i="22"/>
  <c r="F12" i="22"/>
  <c r="C12" i="22"/>
  <c r="B12" i="22"/>
  <c r="A12" i="22"/>
  <c r="A48" i="22" s="1"/>
  <c r="AG48" i="22" s="1"/>
  <c r="AS48" i="22" s="1"/>
  <c r="BC48" i="22" s="1"/>
  <c r="H11" i="22"/>
  <c r="F11" i="22"/>
  <c r="C11" i="22"/>
  <c r="B11" i="22"/>
  <c r="A11" i="22"/>
  <c r="A47" i="22" s="1"/>
  <c r="H10" i="22"/>
  <c r="F10" i="22"/>
  <c r="C10" i="22"/>
  <c r="B10" i="22"/>
  <c r="A10" i="22"/>
  <c r="A46" i="22" s="1"/>
  <c r="H9" i="22"/>
  <c r="F9" i="22"/>
  <c r="C9" i="22"/>
  <c r="B9" i="22"/>
  <c r="A9" i="22"/>
  <c r="A45" i="22" s="1"/>
  <c r="N45" i="22" s="1"/>
  <c r="H8" i="22"/>
  <c r="F8" i="22"/>
  <c r="C8" i="22"/>
  <c r="B8" i="22"/>
  <c r="A8" i="22"/>
  <c r="A44" i="22" s="1"/>
  <c r="H7" i="22"/>
  <c r="F7" i="22"/>
  <c r="C7" i="22"/>
  <c r="B7" i="22"/>
  <c r="A7" i="22"/>
  <c r="A43" i="22" s="1"/>
  <c r="H6" i="22"/>
  <c r="F6" i="22"/>
  <c r="C6" i="22"/>
  <c r="B6" i="22"/>
  <c r="A6" i="22"/>
  <c r="A42" i="22" s="1"/>
  <c r="AG42" i="22" s="1"/>
  <c r="AS42" i="22" s="1"/>
  <c r="BC42" i="22" s="1"/>
  <c r="H5" i="22"/>
  <c r="F5" i="22"/>
  <c r="C5" i="22"/>
  <c r="B5" i="22"/>
  <c r="A5" i="22"/>
  <c r="A41" i="22" s="1"/>
  <c r="N41" i="22" s="1"/>
  <c r="H4" i="22"/>
  <c r="H40" i="22" s="1"/>
  <c r="F4" i="22"/>
  <c r="F40" i="22" s="1"/>
  <c r="C4" i="22"/>
  <c r="C40" i="22" s="1"/>
  <c r="B4" i="22"/>
  <c r="B40" i="22" s="1"/>
  <c r="A4" i="22"/>
  <c r="A40" i="22" s="1"/>
  <c r="AG40" i="22" s="1"/>
  <c r="AS40" i="22" s="1"/>
  <c r="BC40" i="22" s="1"/>
  <c r="N3" i="22"/>
  <c r="H3" i="22"/>
  <c r="H38" i="22" s="1"/>
  <c r="G3" i="22"/>
  <c r="G38" i="22" s="1"/>
  <c r="AM38" i="22" s="1"/>
  <c r="AY38" i="22" s="1"/>
  <c r="BI38" i="22" s="1"/>
  <c r="F3" i="22"/>
  <c r="F38" i="22" s="1"/>
  <c r="E3" i="22"/>
  <c r="E38" i="22" s="1"/>
  <c r="D3" i="22"/>
  <c r="D38" i="22" s="1"/>
  <c r="C3" i="22"/>
  <c r="C38" i="22" s="1"/>
  <c r="B3" i="22"/>
  <c r="B38" i="22" s="1"/>
  <c r="A3" i="22"/>
  <c r="H2" i="22"/>
  <c r="H37" i="22" s="1"/>
  <c r="AN37" i="22" s="1"/>
  <c r="AZ37" i="22" s="1"/>
  <c r="BJ37" i="22" s="1"/>
  <c r="G2" i="22"/>
  <c r="G37" i="22" s="1"/>
  <c r="F2" i="22"/>
  <c r="F37" i="22" s="1"/>
  <c r="E2" i="22"/>
  <c r="E37" i="22" s="1"/>
  <c r="AK37" i="22" s="1"/>
  <c r="AW37" i="22" s="1"/>
  <c r="BG37" i="22" s="1"/>
  <c r="D2" i="22"/>
  <c r="D37" i="22" s="1"/>
  <c r="U37" i="22" s="1"/>
  <c r="C2" i="22"/>
  <c r="C37" i="22" s="1"/>
  <c r="T37" i="22" s="1"/>
  <c r="B2" i="22"/>
  <c r="B37" i="22" s="1"/>
  <c r="Y39" i="21"/>
  <c r="X39" i="21"/>
  <c r="W39" i="21"/>
  <c r="V39" i="21"/>
  <c r="U39" i="21"/>
  <c r="T39" i="21"/>
  <c r="S39" i="21"/>
  <c r="R39" i="21"/>
  <c r="I39" i="21"/>
  <c r="Z39" i="21" s="1"/>
  <c r="AN39" i="21" s="1"/>
  <c r="Z38" i="21"/>
  <c r="R38" i="21"/>
  <c r="H33" i="21"/>
  <c r="G33" i="21"/>
  <c r="E33" i="21"/>
  <c r="D33" i="21"/>
  <c r="B33" i="21"/>
  <c r="A33" i="21"/>
  <c r="H32" i="21"/>
  <c r="G32" i="21"/>
  <c r="E32" i="21"/>
  <c r="D32" i="21"/>
  <c r="B32" i="21"/>
  <c r="A32" i="21"/>
  <c r="H31" i="21"/>
  <c r="G31" i="21"/>
  <c r="E31" i="21"/>
  <c r="D31" i="21"/>
  <c r="B31" i="21"/>
  <c r="A31" i="21"/>
  <c r="H30" i="21"/>
  <c r="G30" i="21"/>
  <c r="E30" i="21"/>
  <c r="D30" i="21"/>
  <c r="B30" i="21"/>
  <c r="A30" i="21"/>
  <c r="H29" i="21"/>
  <c r="G29" i="21"/>
  <c r="E29" i="21"/>
  <c r="D29" i="21"/>
  <c r="B29" i="21"/>
  <c r="A29" i="21"/>
  <c r="H28" i="21"/>
  <c r="G28" i="21"/>
  <c r="E28" i="21"/>
  <c r="D28" i="21"/>
  <c r="B28" i="21"/>
  <c r="A28" i="21"/>
  <c r="A64" i="21" s="1"/>
  <c r="H27" i="21"/>
  <c r="G27" i="21"/>
  <c r="E27" i="21"/>
  <c r="D27" i="21"/>
  <c r="B27" i="21"/>
  <c r="A27" i="21"/>
  <c r="A63" i="21" s="1"/>
  <c r="H26" i="21"/>
  <c r="G26" i="21"/>
  <c r="E26" i="21"/>
  <c r="D26" i="21"/>
  <c r="B26" i="21"/>
  <c r="A26" i="21"/>
  <c r="A62" i="21" s="1"/>
  <c r="H25" i="21"/>
  <c r="G25" i="21"/>
  <c r="E25" i="21"/>
  <c r="D25" i="21"/>
  <c r="B25" i="21"/>
  <c r="A25" i="21"/>
  <c r="A61" i="21" s="1"/>
  <c r="H24" i="21"/>
  <c r="G24" i="21"/>
  <c r="E24" i="21"/>
  <c r="D24" i="21"/>
  <c r="B24" i="21"/>
  <c r="A24" i="21"/>
  <c r="A60" i="21" s="1"/>
  <c r="H23" i="21"/>
  <c r="G23" i="21"/>
  <c r="E23" i="21"/>
  <c r="D23" i="21"/>
  <c r="B23" i="21"/>
  <c r="A23" i="21"/>
  <c r="A59" i="21" s="1"/>
  <c r="H22" i="21"/>
  <c r="G22" i="21"/>
  <c r="E22" i="21"/>
  <c r="D22" i="21"/>
  <c r="B22" i="21"/>
  <c r="A22" i="21"/>
  <c r="A58" i="21" s="1"/>
  <c r="H21" i="21"/>
  <c r="G21" i="21"/>
  <c r="E21" i="21"/>
  <c r="D21" i="21"/>
  <c r="B21" i="21"/>
  <c r="A21" i="21"/>
  <c r="A57" i="21" s="1"/>
  <c r="H20" i="21"/>
  <c r="G20" i="21"/>
  <c r="E20" i="21"/>
  <c r="D20" i="21"/>
  <c r="B20" i="21"/>
  <c r="A20" i="21"/>
  <c r="A56" i="21" s="1"/>
  <c r="H19" i="21"/>
  <c r="G19" i="21"/>
  <c r="E19" i="21"/>
  <c r="D19" i="21"/>
  <c r="B19" i="21"/>
  <c r="A19" i="21"/>
  <c r="A55" i="21" s="1"/>
  <c r="H18" i="21"/>
  <c r="G18" i="21"/>
  <c r="E18" i="21"/>
  <c r="D18" i="21"/>
  <c r="B18" i="21"/>
  <c r="A18" i="21"/>
  <c r="A54" i="21" s="1"/>
  <c r="H17" i="21"/>
  <c r="G17" i="21"/>
  <c r="E17" i="21"/>
  <c r="D17" i="21"/>
  <c r="B17" i="21"/>
  <c r="A17" i="21"/>
  <c r="A53" i="21" s="1"/>
  <c r="H16" i="21"/>
  <c r="G16" i="21"/>
  <c r="E16" i="21"/>
  <c r="D16" i="21"/>
  <c r="B16" i="21"/>
  <c r="A16" i="21"/>
  <c r="A52" i="21" s="1"/>
  <c r="H15" i="21"/>
  <c r="G15" i="21"/>
  <c r="E15" i="21"/>
  <c r="D15" i="21"/>
  <c r="B15" i="21"/>
  <c r="A15" i="21"/>
  <c r="A51" i="21" s="1"/>
  <c r="R51" i="21" s="1"/>
  <c r="H14" i="21"/>
  <c r="G14" i="21"/>
  <c r="B14" i="21"/>
  <c r="A14" i="21"/>
  <c r="A50" i="21" s="1"/>
  <c r="H13" i="21"/>
  <c r="B13" i="21"/>
  <c r="A13" i="21"/>
  <c r="A49" i="21" s="1"/>
  <c r="H12" i="21"/>
  <c r="B12" i="21"/>
  <c r="A12" i="21"/>
  <c r="A48" i="21" s="1"/>
  <c r="N48" i="21" s="1"/>
  <c r="H11" i="21"/>
  <c r="B11" i="21"/>
  <c r="A11" i="21"/>
  <c r="A47" i="21" s="1"/>
  <c r="H10" i="21"/>
  <c r="B10" i="21"/>
  <c r="A10" i="21"/>
  <c r="A46" i="21" s="1"/>
  <c r="AF46" i="21" s="1"/>
  <c r="H9" i="21"/>
  <c r="C9" i="21"/>
  <c r="B9" i="21"/>
  <c r="A9" i="21"/>
  <c r="A45" i="21" s="1"/>
  <c r="H8" i="21"/>
  <c r="C8" i="21"/>
  <c r="B8" i="21"/>
  <c r="A8" i="21"/>
  <c r="A44" i="21" s="1"/>
  <c r="H7" i="21"/>
  <c r="F7" i="21"/>
  <c r="C7" i="21"/>
  <c r="B7" i="21"/>
  <c r="A7" i="21"/>
  <c r="A43" i="21" s="1"/>
  <c r="H6" i="21"/>
  <c r="F6" i="21"/>
  <c r="C6" i="21"/>
  <c r="B6" i="21"/>
  <c r="A6" i="21"/>
  <c r="A42" i="21" s="1"/>
  <c r="H5" i="21"/>
  <c r="F5" i="21"/>
  <c r="C5" i="21"/>
  <c r="B5" i="21"/>
  <c r="A5" i="21"/>
  <c r="A41" i="21" s="1"/>
  <c r="N41" i="21" s="1"/>
  <c r="H4" i="21"/>
  <c r="H40" i="21" s="1"/>
  <c r="F4" i="21"/>
  <c r="F40" i="21" s="1"/>
  <c r="C4" i="21"/>
  <c r="C40" i="21" s="1"/>
  <c r="B4" i="21"/>
  <c r="B40" i="21" s="1"/>
  <c r="A4" i="21"/>
  <c r="A40" i="21" s="1"/>
  <c r="H3" i="21"/>
  <c r="H38" i="21" s="1"/>
  <c r="G3" i="21"/>
  <c r="G38" i="21" s="1"/>
  <c r="F3" i="21"/>
  <c r="F38" i="21" s="1"/>
  <c r="E3" i="21"/>
  <c r="E38" i="21" s="1"/>
  <c r="D3" i="21"/>
  <c r="D38" i="21" s="1"/>
  <c r="C3" i="21"/>
  <c r="C38" i="21" s="1"/>
  <c r="B3" i="21"/>
  <c r="B38" i="21" s="1"/>
  <c r="A3" i="21"/>
  <c r="H2" i="21"/>
  <c r="H37" i="21" s="1"/>
  <c r="Y37" i="21" s="1"/>
  <c r="G2" i="21"/>
  <c r="G37" i="21" s="1"/>
  <c r="X37" i="21" s="1"/>
  <c r="F2" i="21"/>
  <c r="F37" i="21" s="1"/>
  <c r="W37" i="21" s="1"/>
  <c r="E2" i="21"/>
  <c r="E37" i="21" s="1"/>
  <c r="AJ37" i="21" s="1"/>
  <c r="D2" i="21"/>
  <c r="D37" i="21" s="1"/>
  <c r="C2" i="21"/>
  <c r="C37" i="21" s="1"/>
  <c r="T37" i="21" s="1"/>
  <c r="B2" i="21"/>
  <c r="B37" i="21" s="1"/>
  <c r="AG37" i="21" s="1"/>
  <c r="O33" i="12"/>
  <c r="N33" i="12"/>
  <c r="H33" i="12"/>
  <c r="G33" i="12"/>
  <c r="E33" i="12"/>
  <c r="D33" i="12"/>
  <c r="B33" i="12"/>
  <c r="A33" i="12"/>
  <c r="A69" i="12" s="1"/>
  <c r="AG69" i="12" s="1"/>
  <c r="O32" i="12"/>
  <c r="N32" i="12"/>
  <c r="H32" i="12"/>
  <c r="G32" i="12"/>
  <c r="E32" i="12"/>
  <c r="D32" i="12"/>
  <c r="B32" i="12"/>
  <c r="A32" i="12"/>
  <c r="A68" i="12" s="1"/>
  <c r="AG68" i="12" s="1"/>
  <c r="O33" i="20"/>
  <c r="N33" i="20"/>
  <c r="H33" i="20"/>
  <c r="G33" i="20"/>
  <c r="E33" i="20"/>
  <c r="D33" i="20"/>
  <c r="B33" i="20"/>
  <c r="A33" i="20"/>
  <c r="A69" i="20" s="1"/>
  <c r="O32" i="20"/>
  <c r="N32" i="20"/>
  <c r="H32" i="20"/>
  <c r="G32" i="20"/>
  <c r="E32" i="20"/>
  <c r="D32" i="20"/>
  <c r="B32" i="20"/>
  <c r="A32" i="20"/>
  <c r="A68" i="20" s="1"/>
  <c r="O33" i="10"/>
  <c r="N33" i="10"/>
  <c r="H33" i="10"/>
  <c r="G33" i="10"/>
  <c r="E33" i="10"/>
  <c r="D33" i="10"/>
  <c r="B33" i="10"/>
  <c r="A33" i="10"/>
  <c r="A69" i="10" s="1"/>
  <c r="O32" i="10"/>
  <c r="N32" i="10"/>
  <c r="H32" i="10"/>
  <c r="G32" i="10"/>
  <c r="E32" i="10"/>
  <c r="D32" i="10"/>
  <c r="B32" i="10"/>
  <c r="A32" i="10"/>
  <c r="A68" i="10" s="1"/>
  <c r="R68" i="10" s="1"/>
  <c r="A33" i="9"/>
  <c r="A69" i="9" s="1"/>
  <c r="AF69" i="9" s="1"/>
  <c r="B33" i="9"/>
  <c r="D33" i="9"/>
  <c r="E33" i="9"/>
  <c r="G33" i="9"/>
  <c r="H33" i="9"/>
  <c r="H32" i="9"/>
  <c r="G32" i="9"/>
  <c r="E32" i="9"/>
  <c r="D32" i="9"/>
  <c r="B32" i="9"/>
  <c r="A32" i="9"/>
  <c r="A68" i="9" s="1"/>
  <c r="A32" i="7"/>
  <c r="B32" i="7"/>
  <c r="D32" i="7"/>
  <c r="E32" i="7"/>
  <c r="G32" i="7"/>
  <c r="H32" i="7"/>
  <c r="A33" i="7"/>
  <c r="B33" i="7"/>
  <c r="D33" i="7"/>
  <c r="E33" i="7"/>
  <c r="G33" i="7"/>
  <c r="H33" i="7"/>
  <c r="A32" i="19"/>
  <c r="B32" i="19"/>
  <c r="D32" i="19"/>
  <c r="E32" i="19"/>
  <c r="G32" i="19"/>
  <c r="H32" i="19"/>
  <c r="A33" i="19"/>
  <c r="B33" i="19"/>
  <c r="D33" i="19"/>
  <c r="E33" i="19"/>
  <c r="G33" i="19"/>
  <c r="H33" i="19"/>
  <c r="A32" i="4"/>
  <c r="D32" i="4"/>
  <c r="E32" i="4"/>
  <c r="A33" i="4"/>
  <c r="D33" i="4"/>
  <c r="E33" i="4"/>
  <c r="Q40" i="26" l="1"/>
  <c r="P40" i="26"/>
  <c r="S40" i="26"/>
  <c r="AL39" i="24"/>
  <c r="BS39" i="24" s="1"/>
  <c r="AX39" i="24" s="1"/>
  <c r="AI39" i="24"/>
  <c r="BP39" i="24" s="1"/>
  <c r="AU39" i="24" s="1"/>
  <c r="Y38" i="21"/>
  <c r="AM38" i="21"/>
  <c r="S37" i="22"/>
  <c r="AH37" i="22"/>
  <c r="AT37" i="22" s="1"/>
  <c r="BD37" i="22" s="1"/>
  <c r="V37" i="24"/>
  <c r="AK37" i="24"/>
  <c r="BR37" i="24" s="1"/>
  <c r="AW37" i="24" s="1"/>
  <c r="V38" i="24"/>
  <c r="AK38" i="24"/>
  <c r="BR38" i="24" s="1"/>
  <c r="AW38" i="24" s="1"/>
  <c r="S38" i="21"/>
  <c r="AG38" i="21"/>
  <c r="AF45" i="21"/>
  <c r="R45" i="21"/>
  <c r="W37" i="23"/>
  <c r="AL37" i="23"/>
  <c r="AX37" i="23" s="1"/>
  <c r="BH37" i="23" s="1"/>
  <c r="N40" i="23"/>
  <c r="R40" i="23"/>
  <c r="AH37" i="24"/>
  <c r="BO37" i="24" s="1"/>
  <c r="AT37" i="24" s="1"/>
  <c r="S37" i="24"/>
  <c r="AH38" i="24"/>
  <c r="BO38" i="24" s="1"/>
  <c r="AT38" i="24" s="1"/>
  <c r="S38" i="24"/>
  <c r="X38" i="21"/>
  <c r="AL38" i="21"/>
  <c r="U38" i="22"/>
  <c r="AJ38" i="22"/>
  <c r="AV38" i="22" s="1"/>
  <c r="BF38" i="22" s="1"/>
  <c r="R43" i="21"/>
  <c r="AF43" i="21"/>
  <c r="N43" i="21"/>
  <c r="AG48" i="23"/>
  <c r="AS48" i="23" s="1"/>
  <c r="BC48" i="23" s="1"/>
  <c r="R48" i="23"/>
  <c r="N48" i="23"/>
  <c r="R48" i="21"/>
  <c r="X38" i="22"/>
  <c r="AG43" i="24"/>
  <c r="BN43" i="24" s="1"/>
  <c r="R49" i="24"/>
  <c r="S37" i="21"/>
  <c r="AF48" i="21"/>
  <c r="V37" i="22"/>
  <c r="AS49" i="24"/>
  <c r="N46" i="21"/>
  <c r="Y37" i="22"/>
  <c r="R40" i="22"/>
  <c r="N48" i="22"/>
  <c r="N57" i="22"/>
  <c r="V37" i="23"/>
  <c r="N54" i="24"/>
  <c r="R46" i="21"/>
  <c r="R48" i="22"/>
  <c r="R57" i="22"/>
  <c r="AM37" i="24"/>
  <c r="BT37" i="24" s="1"/>
  <c r="AY37" i="24" s="1"/>
  <c r="N49" i="24"/>
  <c r="AF68" i="9"/>
  <c r="N68" i="9"/>
  <c r="R68" i="9"/>
  <c r="N69" i="10"/>
  <c r="AG69" i="10"/>
  <c r="AS69" i="10" s="1"/>
  <c r="BC69" i="10" s="1"/>
  <c r="R68" i="20"/>
  <c r="AG68" i="20"/>
  <c r="AS68" i="20" s="1"/>
  <c r="BC68" i="20" s="1"/>
  <c r="N69" i="20"/>
  <c r="AG69" i="20"/>
  <c r="AS69" i="20" s="1"/>
  <c r="BC69" i="20" s="1"/>
  <c r="AG68" i="10"/>
  <c r="AS68" i="10" s="1"/>
  <c r="BC68" i="10" s="1"/>
  <c r="O41" i="29"/>
  <c r="J42" i="28"/>
  <c r="K42" i="28" s="1"/>
  <c r="L42" i="28" s="1"/>
  <c r="T42" i="28"/>
  <c r="P42" i="28"/>
  <c r="Q42" i="28"/>
  <c r="W41" i="28"/>
  <c r="X41" i="28"/>
  <c r="F44" i="28"/>
  <c r="B44" i="28"/>
  <c r="X40" i="28"/>
  <c r="W40" i="28"/>
  <c r="C44" i="28"/>
  <c r="H43" i="28"/>
  <c r="I43" i="28" s="1"/>
  <c r="J43" i="28" s="1"/>
  <c r="K43" i="28" s="1"/>
  <c r="L43" i="28" s="1"/>
  <c r="V42" i="28"/>
  <c r="J40" i="26"/>
  <c r="K40" i="26" s="1"/>
  <c r="L40" i="26" s="1"/>
  <c r="I40" i="25"/>
  <c r="AJ40" i="25" s="1"/>
  <c r="AC39" i="25"/>
  <c r="AM39" i="25" s="1"/>
  <c r="W39" i="25"/>
  <c r="AJ39" i="25" s="1"/>
  <c r="AT39" i="25" s="1"/>
  <c r="Q39" i="25"/>
  <c r="AD39" i="25" s="1"/>
  <c r="AN39" i="25" s="1"/>
  <c r="T39" i="25"/>
  <c r="AG39" i="25" s="1"/>
  <c r="AQ39" i="25" s="1"/>
  <c r="V39" i="25"/>
  <c r="AI39" i="25" s="1"/>
  <c r="AS39" i="25" s="1"/>
  <c r="N8" i="23"/>
  <c r="O8" i="23"/>
  <c r="O3" i="22"/>
  <c r="O3" i="24"/>
  <c r="N10" i="24"/>
  <c r="O11" i="24"/>
  <c r="AF40" i="21"/>
  <c r="R40" i="21"/>
  <c r="N40" i="21"/>
  <c r="R54" i="22"/>
  <c r="N54" i="22"/>
  <c r="AG54" i="22"/>
  <c r="AS54" i="22" s="1"/>
  <c r="BC54" i="22" s="1"/>
  <c r="AH39" i="21"/>
  <c r="U37" i="21"/>
  <c r="AI37" i="21"/>
  <c r="AI38" i="21"/>
  <c r="U38" i="21"/>
  <c r="N57" i="21"/>
  <c r="AF57" i="21"/>
  <c r="R57" i="21"/>
  <c r="N61" i="21"/>
  <c r="AF61" i="21"/>
  <c r="R61" i="21"/>
  <c r="N44" i="21"/>
  <c r="R44" i="21"/>
  <c r="AF44" i="21"/>
  <c r="R49" i="21"/>
  <c r="N49" i="21"/>
  <c r="AF49" i="21"/>
  <c r="N52" i="21"/>
  <c r="AF52" i="21"/>
  <c r="R52" i="21"/>
  <c r="N56" i="21"/>
  <c r="AF56" i="21"/>
  <c r="R56" i="21"/>
  <c r="AH37" i="23"/>
  <c r="AT37" i="23" s="1"/>
  <c r="BD37" i="23" s="1"/>
  <c r="S37" i="23"/>
  <c r="W38" i="22"/>
  <c r="AL38" i="22"/>
  <c r="AX38" i="22" s="1"/>
  <c r="BH38" i="22" s="1"/>
  <c r="AH38" i="21"/>
  <c r="T38" i="21"/>
  <c r="AH37" i="21"/>
  <c r="N53" i="21"/>
  <c r="AF53" i="21"/>
  <c r="N62" i="21"/>
  <c r="AF62" i="21"/>
  <c r="R62" i="21"/>
  <c r="R47" i="21"/>
  <c r="AF47" i="21"/>
  <c r="N55" i="21"/>
  <c r="AF55" i="21"/>
  <c r="N47" i="22"/>
  <c r="R47" i="22"/>
  <c r="AG47" i="22"/>
  <c r="AS47" i="22" s="1"/>
  <c r="BC47" i="22" s="1"/>
  <c r="AL37" i="21"/>
  <c r="AM39" i="21"/>
  <c r="W37" i="22"/>
  <c r="AL37" i="22"/>
  <c r="AX37" i="22" s="1"/>
  <c r="BH37" i="22" s="1"/>
  <c r="N64" i="21"/>
  <c r="AF64" i="21"/>
  <c r="R64" i="21"/>
  <c r="AM37" i="21"/>
  <c r="R42" i="21"/>
  <c r="N42" i="21"/>
  <c r="N47" i="21"/>
  <c r="N59" i="21"/>
  <c r="AF59" i="21"/>
  <c r="X37" i="22"/>
  <c r="AM37" i="22"/>
  <c r="AY37" i="22" s="1"/>
  <c r="BI37" i="22" s="1"/>
  <c r="AG44" i="22"/>
  <c r="AS44" i="22" s="1"/>
  <c r="BC44" i="22" s="1"/>
  <c r="N44" i="22"/>
  <c r="N51" i="22"/>
  <c r="AG51" i="22"/>
  <c r="AS51" i="22" s="1"/>
  <c r="BC51" i="22" s="1"/>
  <c r="AJ37" i="23"/>
  <c r="AV37" i="23" s="1"/>
  <c r="BF37" i="23" s="1"/>
  <c r="V37" i="21"/>
  <c r="AG39" i="21"/>
  <c r="R53" i="21"/>
  <c r="AN38" i="22"/>
  <c r="AZ38" i="22" s="1"/>
  <c r="BJ38" i="22" s="1"/>
  <c r="Y38" i="22"/>
  <c r="N52" i="22"/>
  <c r="AG52" i="22"/>
  <c r="AS52" i="22" s="1"/>
  <c r="BC52" i="22" s="1"/>
  <c r="R52" i="22"/>
  <c r="R53" i="22"/>
  <c r="AG53" i="22"/>
  <c r="AS53" i="22" s="1"/>
  <c r="BC53" i="22" s="1"/>
  <c r="N53" i="22"/>
  <c r="R55" i="22"/>
  <c r="AG55" i="22"/>
  <c r="AS55" i="22" s="1"/>
  <c r="BC55" i="22" s="1"/>
  <c r="N55" i="22"/>
  <c r="AG56" i="22"/>
  <c r="AS56" i="22" s="1"/>
  <c r="BC56" i="22" s="1"/>
  <c r="R56" i="22"/>
  <c r="N56" i="22"/>
  <c r="R58" i="22"/>
  <c r="AG58" i="22"/>
  <c r="AS58" i="22" s="1"/>
  <c r="BC58" i="22" s="1"/>
  <c r="N58" i="22"/>
  <c r="AG59" i="22"/>
  <c r="AS59" i="22" s="1"/>
  <c r="BC59" i="22" s="1"/>
  <c r="N59" i="22"/>
  <c r="R59" i="22"/>
  <c r="AG60" i="22"/>
  <c r="AS60" i="22" s="1"/>
  <c r="BC60" i="22" s="1"/>
  <c r="R60" i="22"/>
  <c r="N60" i="22"/>
  <c r="N62" i="22"/>
  <c r="AG62" i="22"/>
  <c r="AS62" i="22" s="1"/>
  <c r="BC62" i="22" s="1"/>
  <c r="R62" i="22"/>
  <c r="AG63" i="22"/>
  <c r="AS63" i="22" s="1"/>
  <c r="BC63" i="22" s="1"/>
  <c r="N63" i="22"/>
  <c r="R63" i="22"/>
  <c r="AG64" i="22"/>
  <c r="AS64" i="22" s="1"/>
  <c r="BC64" i="22" s="1"/>
  <c r="R64" i="22"/>
  <c r="N64" i="22"/>
  <c r="AL38" i="23"/>
  <c r="AX38" i="23" s="1"/>
  <c r="BH38" i="23" s="1"/>
  <c r="AH38" i="23"/>
  <c r="AT38" i="23" s="1"/>
  <c r="BD38" i="23" s="1"/>
  <c r="S38" i="23"/>
  <c r="R49" i="23"/>
  <c r="AG49" i="23"/>
  <c r="AS49" i="23" s="1"/>
  <c r="BC49" i="23" s="1"/>
  <c r="N49" i="23"/>
  <c r="AK37" i="21"/>
  <c r="R46" i="22"/>
  <c r="N46" i="22"/>
  <c r="AG46" i="22"/>
  <c r="AS46" i="22" s="1"/>
  <c r="BC46" i="22" s="1"/>
  <c r="N43" i="22"/>
  <c r="AG43" i="22"/>
  <c r="AS43" i="22" s="1"/>
  <c r="BC43" i="22" s="1"/>
  <c r="R43" i="22"/>
  <c r="AJ38" i="21"/>
  <c r="V38" i="21"/>
  <c r="AN38" i="23"/>
  <c r="AZ38" i="23" s="1"/>
  <c r="BJ38" i="23" s="1"/>
  <c r="AF41" i="21"/>
  <c r="R44" i="22"/>
  <c r="AG61" i="22"/>
  <c r="AS61" i="22" s="1"/>
  <c r="BC61" i="22" s="1"/>
  <c r="N61" i="22"/>
  <c r="Y37" i="23"/>
  <c r="AN37" i="23"/>
  <c r="AZ37" i="23" s="1"/>
  <c r="BJ37" i="23" s="1"/>
  <c r="R43" i="23"/>
  <c r="N43" i="23"/>
  <c r="AG43" i="23"/>
  <c r="AS43" i="23" s="1"/>
  <c r="BC43" i="23" s="1"/>
  <c r="AG51" i="23"/>
  <c r="AS51" i="23" s="1"/>
  <c r="BC51" i="23" s="1"/>
  <c r="N51" i="23"/>
  <c r="R51" i="23"/>
  <c r="AG52" i="23"/>
  <c r="AS52" i="23" s="1"/>
  <c r="BC52" i="23" s="1"/>
  <c r="N52" i="23"/>
  <c r="R52" i="23"/>
  <c r="R53" i="23"/>
  <c r="N53" i="23"/>
  <c r="AG53" i="23"/>
  <c r="AS53" i="23" s="1"/>
  <c r="BC53" i="23" s="1"/>
  <c r="N54" i="23"/>
  <c r="AG54" i="23"/>
  <c r="AS54" i="23" s="1"/>
  <c r="BC54" i="23" s="1"/>
  <c r="R54" i="23"/>
  <c r="AG55" i="23"/>
  <c r="AS55" i="23" s="1"/>
  <c r="BC55" i="23" s="1"/>
  <c r="R55" i="23"/>
  <c r="N55" i="23"/>
  <c r="R56" i="23"/>
  <c r="N56" i="23"/>
  <c r="AG56" i="23"/>
  <c r="AS56" i="23" s="1"/>
  <c r="BC56" i="23" s="1"/>
  <c r="R57" i="23"/>
  <c r="AG57" i="23"/>
  <c r="AS57" i="23" s="1"/>
  <c r="BC57" i="23" s="1"/>
  <c r="AG58" i="23"/>
  <c r="AS58" i="23" s="1"/>
  <c r="BC58" i="23" s="1"/>
  <c r="R58" i="23"/>
  <c r="N58" i="23"/>
  <c r="AG59" i="23"/>
  <c r="AS59" i="23" s="1"/>
  <c r="BC59" i="23" s="1"/>
  <c r="N59" i="23"/>
  <c r="R59" i="23"/>
  <c r="AG60" i="23"/>
  <c r="AS60" i="23" s="1"/>
  <c r="BC60" i="23" s="1"/>
  <c r="N60" i="23"/>
  <c r="R60" i="23"/>
  <c r="N61" i="23"/>
  <c r="AG61" i="23"/>
  <c r="AS61" i="23" s="1"/>
  <c r="BC61" i="23" s="1"/>
  <c r="R61" i="23"/>
  <c r="N62" i="23"/>
  <c r="R62" i="23"/>
  <c r="AG62" i="23"/>
  <c r="AS62" i="23" s="1"/>
  <c r="BC62" i="23" s="1"/>
  <c r="R63" i="23"/>
  <c r="AG63" i="23"/>
  <c r="AS63" i="23" s="1"/>
  <c r="BC63" i="23" s="1"/>
  <c r="N63" i="23"/>
  <c r="R64" i="23"/>
  <c r="N64" i="23"/>
  <c r="AG64" i="23"/>
  <c r="AS64" i="23" s="1"/>
  <c r="BC64" i="23" s="1"/>
  <c r="R50" i="21"/>
  <c r="AF50" i="21"/>
  <c r="N50" i="21"/>
  <c r="AK39" i="21"/>
  <c r="N60" i="21"/>
  <c r="AF60" i="21"/>
  <c r="R60" i="21"/>
  <c r="R50" i="22"/>
  <c r="N50" i="22"/>
  <c r="AG50" i="22"/>
  <c r="AS50" i="22" s="1"/>
  <c r="BC50" i="22" s="1"/>
  <c r="AG41" i="23"/>
  <c r="AS41" i="23" s="1"/>
  <c r="BC41" i="23" s="1"/>
  <c r="R41" i="23"/>
  <c r="N41" i="23"/>
  <c r="X38" i="23"/>
  <c r="AM38" i="23"/>
  <c r="AY38" i="23" s="1"/>
  <c r="BI38" i="23" s="1"/>
  <c r="AO39" i="22"/>
  <c r="BA39" i="22" s="1"/>
  <c r="BK39" i="22" s="1"/>
  <c r="AN39" i="22"/>
  <c r="AZ39" i="22" s="1"/>
  <c r="BJ39" i="22" s="1"/>
  <c r="AL39" i="22"/>
  <c r="AX39" i="22" s="1"/>
  <c r="BH39" i="22" s="1"/>
  <c r="AI39" i="22"/>
  <c r="AU39" i="22" s="1"/>
  <c r="BE39" i="22" s="1"/>
  <c r="N63" i="21"/>
  <c r="AF63" i="21"/>
  <c r="AG45" i="22"/>
  <c r="AS45" i="22" s="1"/>
  <c r="BC45" i="22" s="1"/>
  <c r="R45" i="22"/>
  <c r="I40" i="22"/>
  <c r="AG47" i="23"/>
  <c r="AS47" i="23" s="1"/>
  <c r="BC47" i="23" s="1"/>
  <c r="R47" i="23"/>
  <c r="N47" i="23"/>
  <c r="AN39" i="23"/>
  <c r="AZ39" i="23" s="1"/>
  <c r="BJ39" i="23" s="1"/>
  <c r="AO39" i="23"/>
  <c r="BA39" i="23" s="1"/>
  <c r="BK39" i="23" s="1"/>
  <c r="AL39" i="23"/>
  <c r="AX39" i="23" s="1"/>
  <c r="BH39" i="23" s="1"/>
  <c r="AK38" i="21"/>
  <c r="W38" i="21"/>
  <c r="N54" i="21"/>
  <c r="AF54" i="21"/>
  <c r="R54" i="21"/>
  <c r="R55" i="21"/>
  <c r="R63" i="21"/>
  <c r="V38" i="22"/>
  <c r="AK38" i="22"/>
  <c r="AW38" i="22" s="1"/>
  <c r="BG38" i="22" s="1"/>
  <c r="I40" i="21"/>
  <c r="O40" i="21" s="1"/>
  <c r="R41" i="21"/>
  <c r="AF42" i="21"/>
  <c r="N45" i="21"/>
  <c r="N51" i="21"/>
  <c r="AF51" i="21"/>
  <c r="N58" i="21"/>
  <c r="AF58" i="21"/>
  <c r="R58" i="21"/>
  <c r="R59" i="21"/>
  <c r="AG42" i="23"/>
  <c r="AS42" i="23" s="1"/>
  <c r="BC42" i="23" s="1"/>
  <c r="R42" i="23"/>
  <c r="N42" i="23"/>
  <c r="N50" i="23"/>
  <c r="AG50" i="23"/>
  <c r="AS50" i="23" s="1"/>
  <c r="BC50" i="23" s="1"/>
  <c r="R50" i="23"/>
  <c r="T37" i="23"/>
  <c r="AI37" i="23"/>
  <c r="AU37" i="23" s="1"/>
  <c r="BE37" i="23" s="1"/>
  <c r="N57" i="23"/>
  <c r="AI37" i="22"/>
  <c r="AU37" i="22" s="1"/>
  <c r="BE37" i="22" s="1"/>
  <c r="AG41" i="22"/>
  <c r="AS41" i="22" s="1"/>
  <c r="BC41" i="22" s="1"/>
  <c r="R41" i="22"/>
  <c r="AH39" i="23"/>
  <c r="AT39" i="23" s="1"/>
  <c r="BD39" i="23" s="1"/>
  <c r="R45" i="23"/>
  <c r="AG45" i="23"/>
  <c r="AS45" i="23" s="1"/>
  <c r="BC45" i="23" s="1"/>
  <c r="N45" i="23"/>
  <c r="AH38" i="22"/>
  <c r="AT38" i="22" s="1"/>
  <c r="BD38" i="22" s="1"/>
  <c r="S38" i="22"/>
  <c r="AJ37" i="22"/>
  <c r="AV37" i="22" s="1"/>
  <c r="BF37" i="22" s="1"/>
  <c r="AJ38" i="23"/>
  <c r="AV38" i="23" s="1"/>
  <c r="BF38" i="23" s="1"/>
  <c r="U38" i="23"/>
  <c r="I40" i="23"/>
  <c r="T38" i="23"/>
  <c r="R47" i="24"/>
  <c r="N47" i="24"/>
  <c r="AG47" i="24"/>
  <c r="BN47" i="24" s="1"/>
  <c r="AS47" i="24"/>
  <c r="N40" i="22"/>
  <c r="R42" i="22"/>
  <c r="N42" i="22"/>
  <c r="X37" i="23"/>
  <c r="AI38" i="22"/>
  <c r="AU38" i="22" s="1"/>
  <c r="BE38" i="22" s="1"/>
  <c r="T38" i="22"/>
  <c r="AG49" i="22"/>
  <c r="AS49" i="22" s="1"/>
  <c r="BC49" i="22" s="1"/>
  <c r="R49" i="22"/>
  <c r="AG44" i="23"/>
  <c r="AS44" i="23" s="1"/>
  <c r="BC44" i="23" s="1"/>
  <c r="R44" i="23"/>
  <c r="AG40" i="23"/>
  <c r="AS40" i="23" s="1"/>
  <c r="BC40" i="23" s="1"/>
  <c r="AI37" i="24"/>
  <c r="BP37" i="24" s="1"/>
  <c r="AU37" i="24" s="1"/>
  <c r="AI39" i="23"/>
  <c r="AU39" i="23" s="1"/>
  <c r="BE39" i="23" s="1"/>
  <c r="AL37" i="24"/>
  <c r="BS37" i="24" s="1"/>
  <c r="AX37" i="24" s="1"/>
  <c r="W37" i="24"/>
  <c r="AL38" i="24"/>
  <c r="BS38" i="24" s="1"/>
  <c r="AX38" i="24" s="1"/>
  <c r="W38" i="24"/>
  <c r="AS45" i="24"/>
  <c r="AG45" i="24"/>
  <c r="BN45" i="24" s="1"/>
  <c r="R45" i="24"/>
  <c r="N45" i="24"/>
  <c r="AS41" i="24"/>
  <c r="AG41" i="24"/>
  <c r="BN41" i="24" s="1"/>
  <c r="R41" i="24"/>
  <c r="N41" i="24"/>
  <c r="AK38" i="23"/>
  <c r="AW38" i="23" s="1"/>
  <c r="BG38" i="23" s="1"/>
  <c r="V38" i="23"/>
  <c r="N46" i="23"/>
  <c r="R46" i="23"/>
  <c r="AS40" i="24"/>
  <c r="R40" i="24"/>
  <c r="N40" i="24"/>
  <c r="AG40" i="24"/>
  <c r="BN40" i="24" s="1"/>
  <c r="Y37" i="24"/>
  <c r="AN37" i="24"/>
  <c r="BU37" i="24" s="1"/>
  <c r="AZ37" i="24" s="1"/>
  <c r="N44" i="24"/>
  <c r="AG44" i="24"/>
  <c r="BN44" i="24" s="1"/>
  <c r="R44" i="24"/>
  <c r="AI38" i="24"/>
  <c r="BP38" i="24" s="1"/>
  <c r="AU38" i="24" s="1"/>
  <c r="T38" i="24"/>
  <c r="N48" i="24"/>
  <c r="AS48" i="24"/>
  <c r="R48" i="24"/>
  <c r="R63" i="24"/>
  <c r="AG63" i="24"/>
  <c r="BN63" i="24" s="1"/>
  <c r="N63" i="24"/>
  <c r="AS63" i="24"/>
  <c r="AJ38" i="24"/>
  <c r="BQ38" i="24" s="1"/>
  <c r="AV38" i="24" s="1"/>
  <c r="U38" i="24"/>
  <c r="I40" i="24"/>
  <c r="O40" i="24" s="1"/>
  <c r="U37" i="24"/>
  <c r="R42" i="24"/>
  <c r="N42" i="24"/>
  <c r="AS42" i="24"/>
  <c r="N50" i="24"/>
  <c r="AS50" i="24"/>
  <c r="R50" i="24"/>
  <c r="X38" i="24"/>
  <c r="AM38" i="24"/>
  <c r="BT38" i="24" s="1"/>
  <c r="AY38" i="24" s="1"/>
  <c r="AG42" i="24"/>
  <c r="BN42" i="24" s="1"/>
  <c r="AN38" i="24"/>
  <c r="BU38" i="24" s="1"/>
  <c r="AZ38" i="24" s="1"/>
  <c r="AS46" i="24"/>
  <c r="AG46" i="24"/>
  <c r="BN46" i="24" s="1"/>
  <c r="R46" i="24"/>
  <c r="AH39" i="24"/>
  <c r="BO39" i="24" s="1"/>
  <c r="AT39" i="24" s="1"/>
  <c r="N46" i="24"/>
  <c r="R43" i="24"/>
  <c r="N43" i="24"/>
  <c r="AS51" i="24"/>
  <c r="R51" i="24"/>
  <c r="N51" i="24"/>
  <c r="N52" i="24"/>
  <c r="AG52" i="24"/>
  <c r="BN52" i="24" s="1"/>
  <c r="R52" i="24"/>
  <c r="AS52" i="24"/>
  <c r="N53" i="24"/>
  <c r="AS53" i="24"/>
  <c r="R54" i="24"/>
  <c r="AS54" i="24"/>
  <c r="AG55" i="24"/>
  <c r="BN55" i="24" s="1"/>
  <c r="AS55" i="24"/>
  <c r="N55" i="24"/>
  <c r="R56" i="24"/>
  <c r="AS56" i="24"/>
  <c r="AG56" i="24"/>
  <c r="BN56" i="24" s="1"/>
  <c r="N56" i="24"/>
  <c r="AS57" i="24"/>
  <c r="AG57" i="24"/>
  <c r="BN57" i="24" s="1"/>
  <c r="R57" i="24"/>
  <c r="AG58" i="24"/>
  <c r="BN58" i="24" s="1"/>
  <c r="N58" i="24"/>
  <c r="R58" i="24"/>
  <c r="AS58" i="24"/>
  <c r="AS59" i="24"/>
  <c r="AG59" i="24"/>
  <c r="BN59" i="24" s="1"/>
  <c r="R59" i="24"/>
  <c r="AS60" i="24"/>
  <c r="R60" i="24"/>
  <c r="AG60" i="24"/>
  <c r="BN60" i="24" s="1"/>
  <c r="AS61" i="24"/>
  <c r="AG61" i="24"/>
  <c r="BN61" i="24" s="1"/>
  <c r="R61" i="24"/>
  <c r="N61" i="24"/>
  <c r="N62" i="24"/>
  <c r="R62" i="24"/>
  <c r="AG62" i="24"/>
  <c r="BN62" i="24" s="1"/>
  <c r="AS62" i="24"/>
  <c r="R64" i="24"/>
  <c r="AS64" i="24"/>
  <c r="N64" i="24"/>
  <c r="AG53" i="24"/>
  <c r="BN53" i="24" s="1"/>
  <c r="N57" i="24"/>
  <c r="AS69" i="12"/>
  <c r="N69" i="12"/>
  <c r="R69" i="12"/>
  <c r="R68" i="12"/>
  <c r="AS68" i="12"/>
  <c r="N68" i="12"/>
  <c r="R69" i="20"/>
  <c r="N68" i="20"/>
  <c r="R69" i="10"/>
  <c r="N68" i="10"/>
  <c r="N69" i="9"/>
  <c r="R69" i="9"/>
  <c r="I20" i="8"/>
  <c r="BG39" i="20"/>
  <c r="BC39" i="20"/>
  <c r="AY39" i="20"/>
  <c r="BI39" i="20" s="1"/>
  <c r="AW39" i="20"/>
  <c r="AV39" i="20"/>
  <c r="BF39" i="20" s="1"/>
  <c r="AS39" i="20"/>
  <c r="Z39" i="20"/>
  <c r="AO39" i="20" s="1"/>
  <c r="BA39" i="20" s="1"/>
  <c r="BK39" i="20" s="1"/>
  <c r="Y39" i="20"/>
  <c r="X39" i="20"/>
  <c r="W39" i="20"/>
  <c r="V39" i="20"/>
  <c r="U39" i="20"/>
  <c r="T39" i="20"/>
  <c r="S39" i="20"/>
  <c r="R39" i="20"/>
  <c r="I39" i="20"/>
  <c r="BA38" i="20"/>
  <c r="BK38" i="20" s="1"/>
  <c r="AS38" i="20"/>
  <c r="Z38" i="20"/>
  <c r="R38" i="20"/>
  <c r="O31" i="20"/>
  <c r="N31" i="20"/>
  <c r="H31" i="20"/>
  <c r="G31" i="20"/>
  <c r="E31" i="20"/>
  <c r="D31" i="20"/>
  <c r="B31" i="20"/>
  <c r="A31" i="20"/>
  <c r="A67" i="20" s="1"/>
  <c r="O30" i="20"/>
  <c r="N30" i="20"/>
  <c r="H30" i="20"/>
  <c r="G30" i="20"/>
  <c r="E30" i="20"/>
  <c r="D30" i="20"/>
  <c r="B30" i="20"/>
  <c r="A30" i="20"/>
  <c r="A66" i="20" s="1"/>
  <c r="N66" i="20" s="1"/>
  <c r="O29" i="20"/>
  <c r="N29" i="20"/>
  <c r="H29" i="20"/>
  <c r="G29" i="20"/>
  <c r="E29" i="20"/>
  <c r="D29" i="20"/>
  <c r="B29" i="20"/>
  <c r="A29" i="20"/>
  <c r="A65" i="20" s="1"/>
  <c r="O28" i="20"/>
  <c r="N28" i="20"/>
  <c r="H28" i="20"/>
  <c r="G28" i="20"/>
  <c r="E28" i="20"/>
  <c r="D28" i="20"/>
  <c r="B28" i="20"/>
  <c r="A28" i="20"/>
  <c r="A64" i="20" s="1"/>
  <c r="O27" i="20"/>
  <c r="N27" i="20"/>
  <c r="H27" i="20"/>
  <c r="G27" i="20"/>
  <c r="E27" i="20"/>
  <c r="D27" i="20"/>
  <c r="B27" i="20"/>
  <c r="A27" i="20"/>
  <c r="A63" i="20" s="1"/>
  <c r="N63" i="20" s="1"/>
  <c r="O26" i="20"/>
  <c r="N26" i="20"/>
  <c r="H26" i="20"/>
  <c r="G26" i="20"/>
  <c r="E26" i="20"/>
  <c r="D26" i="20"/>
  <c r="B26" i="20"/>
  <c r="A26" i="20"/>
  <c r="A62" i="20" s="1"/>
  <c r="O25" i="20"/>
  <c r="N25" i="20"/>
  <c r="H25" i="20"/>
  <c r="G25" i="20"/>
  <c r="E25" i="20"/>
  <c r="D25" i="20"/>
  <c r="B25" i="20"/>
  <c r="A25" i="20"/>
  <c r="A61" i="20" s="1"/>
  <c r="O24" i="20"/>
  <c r="N24" i="20"/>
  <c r="H24" i="20"/>
  <c r="G24" i="20"/>
  <c r="E24" i="20"/>
  <c r="D24" i="20"/>
  <c r="B24" i="20"/>
  <c r="A24" i="20"/>
  <c r="A60" i="20" s="1"/>
  <c r="O23" i="20"/>
  <c r="N23" i="20"/>
  <c r="H23" i="20"/>
  <c r="G23" i="20"/>
  <c r="E23" i="20"/>
  <c r="D23" i="20"/>
  <c r="B23" i="20"/>
  <c r="A23" i="20"/>
  <c r="A59" i="20" s="1"/>
  <c r="O22" i="20"/>
  <c r="N22" i="20"/>
  <c r="H22" i="20"/>
  <c r="G22" i="20"/>
  <c r="E22" i="20"/>
  <c r="D22" i="20"/>
  <c r="B22" i="20"/>
  <c r="A22" i="20"/>
  <c r="A58" i="20" s="1"/>
  <c r="O21" i="20"/>
  <c r="N21" i="20"/>
  <c r="H21" i="20"/>
  <c r="G21" i="20"/>
  <c r="E21" i="20"/>
  <c r="D21" i="20"/>
  <c r="B21" i="20"/>
  <c r="A21" i="20"/>
  <c r="A57" i="20" s="1"/>
  <c r="O20" i="20"/>
  <c r="N20" i="20"/>
  <c r="H20" i="20"/>
  <c r="G20" i="20"/>
  <c r="E20" i="20"/>
  <c r="D20" i="20"/>
  <c r="B20" i="20"/>
  <c r="A20" i="20"/>
  <c r="A56" i="20" s="1"/>
  <c r="O19" i="20"/>
  <c r="N19" i="20"/>
  <c r="H19" i="20"/>
  <c r="G19" i="20"/>
  <c r="E19" i="20"/>
  <c r="D19" i="20"/>
  <c r="B19" i="20"/>
  <c r="A19" i="20"/>
  <c r="A55" i="20" s="1"/>
  <c r="O18" i="20"/>
  <c r="N18" i="20"/>
  <c r="H18" i="20"/>
  <c r="G18" i="20"/>
  <c r="E18" i="20"/>
  <c r="D18" i="20"/>
  <c r="B18" i="20"/>
  <c r="A18" i="20"/>
  <c r="A54" i="20" s="1"/>
  <c r="N54" i="20" s="1"/>
  <c r="O17" i="20"/>
  <c r="N17" i="20"/>
  <c r="H17" i="20"/>
  <c r="G17" i="20"/>
  <c r="E17" i="20"/>
  <c r="D17" i="20"/>
  <c r="B17" i="20"/>
  <c r="A17" i="20"/>
  <c r="A53" i="20" s="1"/>
  <c r="O16" i="20"/>
  <c r="N16" i="20"/>
  <c r="H16" i="20"/>
  <c r="G16" i="20"/>
  <c r="E16" i="20"/>
  <c r="D16" i="20"/>
  <c r="B16" i="20"/>
  <c r="A16" i="20"/>
  <c r="A52" i="20" s="1"/>
  <c r="R52" i="20" s="1"/>
  <c r="O15" i="20"/>
  <c r="N15" i="20"/>
  <c r="H15" i="20"/>
  <c r="G15" i="20"/>
  <c r="E15" i="20"/>
  <c r="D15" i="20"/>
  <c r="B15" i="20"/>
  <c r="A15" i="20"/>
  <c r="A51" i="20" s="1"/>
  <c r="AG51" i="20" s="1"/>
  <c r="AS51" i="20" s="1"/>
  <c r="BC51" i="20" s="1"/>
  <c r="O14" i="20"/>
  <c r="N14" i="20"/>
  <c r="H14" i="20"/>
  <c r="G14" i="20"/>
  <c r="C14" i="20"/>
  <c r="B14" i="20"/>
  <c r="A14" i="20"/>
  <c r="A50" i="20" s="1"/>
  <c r="O13" i="20"/>
  <c r="N13" i="20"/>
  <c r="H13" i="20"/>
  <c r="G13" i="20"/>
  <c r="C13" i="20"/>
  <c r="B13" i="20"/>
  <c r="A13" i="20"/>
  <c r="A49" i="20" s="1"/>
  <c r="O12" i="20"/>
  <c r="N12" i="20"/>
  <c r="H12" i="20"/>
  <c r="F12" i="20"/>
  <c r="C12" i="20"/>
  <c r="B12" i="20"/>
  <c r="A12" i="20"/>
  <c r="A48" i="20" s="1"/>
  <c r="N48" i="20" s="1"/>
  <c r="O11" i="20"/>
  <c r="N11" i="20"/>
  <c r="H11" i="20"/>
  <c r="F11" i="20"/>
  <c r="C11" i="20"/>
  <c r="B11" i="20"/>
  <c r="A11" i="20"/>
  <c r="A47" i="20" s="1"/>
  <c r="O10" i="20"/>
  <c r="N10" i="20"/>
  <c r="H10" i="20"/>
  <c r="F10" i="20"/>
  <c r="C10" i="20"/>
  <c r="B10" i="20"/>
  <c r="A10" i="20"/>
  <c r="A46" i="20" s="1"/>
  <c r="O9" i="20"/>
  <c r="N9" i="20"/>
  <c r="H9" i="20"/>
  <c r="F9" i="20"/>
  <c r="C9" i="20"/>
  <c r="B9" i="20"/>
  <c r="A9" i="20"/>
  <c r="A45" i="20" s="1"/>
  <c r="O8" i="20"/>
  <c r="N8" i="20"/>
  <c r="H8" i="20"/>
  <c r="F8" i="20"/>
  <c r="C8" i="20"/>
  <c r="B8" i="20"/>
  <c r="A8" i="20"/>
  <c r="A44" i="20" s="1"/>
  <c r="O7" i="20"/>
  <c r="N7" i="20"/>
  <c r="H7" i="20"/>
  <c r="F7" i="20"/>
  <c r="C7" i="20"/>
  <c r="B7" i="20"/>
  <c r="A7" i="20"/>
  <c r="A43" i="20" s="1"/>
  <c r="N43" i="20" s="1"/>
  <c r="O6" i="20"/>
  <c r="N6" i="20"/>
  <c r="H6" i="20"/>
  <c r="F6" i="20"/>
  <c r="C6" i="20"/>
  <c r="B6" i="20"/>
  <c r="A6" i="20"/>
  <c r="A42" i="20" s="1"/>
  <c r="O5" i="20"/>
  <c r="N5" i="20"/>
  <c r="H5" i="20"/>
  <c r="F5" i="20"/>
  <c r="C5" i="20"/>
  <c r="B5" i="20"/>
  <c r="A5" i="20"/>
  <c r="A41" i="20" s="1"/>
  <c r="N41" i="20" s="1"/>
  <c r="O4" i="20"/>
  <c r="N4" i="20"/>
  <c r="H4" i="20"/>
  <c r="H40" i="20" s="1"/>
  <c r="F4" i="20"/>
  <c r="F40" i="20" s="1"/>
  <c r="C4" i="20"/>
  <c r="C40" i="20" s="1"/>
  <c r="B4" i="20"/>
  <c r="B40" i="20" s="1"/>
  <c r="A4" i="20"/>
  <c r="A40" i="20" s="1"/>
  <c r="O3" i="20"/>
  <c r="N3" i="20"/>
  <c r="H3" i="20"/>
  <c r="H38" i="20" s="1"/>
  <c r="G3" i="20"/>
  <c r="G38" i="20" s="1"/>
  <c r="F3" i="20"/>
  <c r="F38" i="20" s="1"/>
  <c r="E3" i="20"/>
  <c r="E38" i="20" s="1"/>
  <c r="D3" i="20"/>
  <c r="D38" i="20" s="1"/>
  <c r="C3" i="20"/>
  <c r="C38" i="20" s="1"/>
  <c r="B3" i="20"/>
  <c r="B38" i="20" s="1"/>
  <c r="A3" i="20"/>
  <c r="H2" i="20"/>
  <c r="H37" i="20" s="1"/>
  <c r="AN37" i="20" s="1"/>
  <c r="AZ37" i="20" s="1"/>
  <c r="BJ37" i="20" s="1"/>
  <c r="G2" i="20"/>
  <c r="G37" i="20" s="1"/>
  <c r="AM37" i="20" s="1"/>
  <c r="AY37" i="20" s="1"/>
  <c r="BI37" i="20" s="1"/>
  <c r="F2" i="20"/>
  <c r="F37" i="20" s="1"/>
  <c r="E2" i="20"/>
  <c r="E37" i="20" s="1"/>
  <c r="D2" i="20"/>
  <c r="D37" i="20" s="1"/>
  <c r="U37" i="20" s="1"/>
  <c r="C2" i="20"/>
  <c r="C37" i="20" s="1"/>
  <c r="AI37" i="20" s="1"/>
  <c r="AU37" i="20" s="1"/>
  <c r="BE37" i="20" s="1"/>
  <c r="B2" i="20"/>
  <c r="B37" i="20" s="1"/>
  <c r="AL39" i="19"/>
  <c r="AB39" i="19"/>
  <c r="U39" i="19"/>
  <c r="AH39" i="19" s="1"/>
  <c r="AR39" i="19" s="1"/>
  <c r="S39" i="19"/>
  <c r="AF39" i="19" s="1"/>
  <c r="AP39" i="19" s="1"/>
  <c r="R39" i="19"/>
  <c r="AE39" i="19" s="1"/>
  <c r="AO39" i="19" s="1"/>
  <c r="H39" i="19"/>
  <c r="F39" i="19"/>
  <c r="C39" i="19"/>
  <c r="B39" i="19"/>
  <c r="AJ38" i="19"/>
  <c r="AT38" i="19" s="1"/>
  <c r="AB38" i="19"/>
  <c r="H31" i="19"/>
  <c r="G31" i="19"/>
  <c r="E31" i="19"/>
  <c r="D31" i="19"/>
  <c r="B31" i="19"/>
  <c r="A31" i="19"/>
  <c r="H30" i="19"/>
  <c r="G30" i="19"/>
  <c r="E30" i="19"/>
  <c r="D30" i="19"/>
  <c r="B30" i="19"/>
  <c r="A30" i="19"/>
  <c r="H29" i="19"/>
  <c r="G29" i="19"/>
  <c r="E29" i="19"/>
  <c r="D29" i="19"/>
  <c r="B29" i="19"/>
  <c r="A29" i="19"/>
  <c r="H28" i="19"/>
  <c r="G28" i="19"/>
  <c r="E28" i="19"/>
  <c r="D28" i="19"/>
  <c r="B28" i="19"/>
  <c r="A28" i="19"/>
  <c r="A64" i="19" s="1"/>
  <c r="H27" i="19"/>
  <c r="G27" i="19"/>
  <c r="E27" i="19"/>
  <c r="D27" i="19"/>
  <c r="B27" i="19"/>
  <c r="A27" i="19"/>
  <c r="A63" i="19" s="1"/>
  <c r="O63" i="19" s="1"/>
  <c r="AB63" i="19" s="1"/>
  <c r="H26" i="19"/>
  <c r="G26" i="19"/>
  <c r="E26" i="19"/>
  <c r="D26" i="19"/>
  <c r="B26" i="19"/>
  <c r="A26" i="19"/>
  <c r="A62" i="19" s="1"/>
  <c r="H25" i="19"/>
  <c r="G25" i="19"/>
  <c r="E25" i="19"/>
  <c r="D25" i="19"/>
  <c r="B25" i="19"/>
  <c r="A25" i="19"/>
  <c r="A61" i="19" s="1"/>
  <c r="H24" i="19"/>
  <c r="G24" i="19"/>
  <c r="E24" i="19"/>
  <c r="D24" i="19"/>
  <c r="B24" i="19"/>
  <c r="A24" i="19"/>
  <c r="A60" i="19" s="1"/>
  <c r="H23" i="19"/>
  <c r="G23" i="19"/>
  <c r="E23" i="19"/>
  <c r="D23" i="19"/>
  <c r="B23" i="19"/>
  <c r="A23" i="19"/>
  <c r="A59" i="19" s="1"/>
  <c r="AL59" i="19" s="1"/>
  <c r="H22" i="19"/>
  <c r="G22" i="19"/>
  <c r="E22" i="19"/>
  <c r="D22" i="19"/>
  <c r="B22" i="19"/>
  <c r="A22" i="19"/>
  <c r="A58" i="19" s="1"/>
  <c r="H21" i="19"/>
  <c r="G21" i="19"/>
  <c r="E21" i="19"/>
  <c r="D21" i="19"/>
  <c r="B21" i="19"/>
  <c r="A21" i="19"/>
  <c r="A57" i="19" s="1"/>
  <c r="H20" i="19"/>
  <c r="G20" i="19"/>
  <c r="E20" i="19"/>
  <c r="D20" i="19"/>
  <c r="B20" i="19"/>
  <c r="A20" i="19"/>
  <c r="A56" i="19" s="1"/>
  <c r="H19" i="19"/>
  <c r="G19" i="19"/>
  <c r="E19" i="19"/>
  <c r="D19" i="19"/>
  <c r="B19" i="19"/>
  <c r="A19" i="19"/>
  <c r="A55" i="19" s="1"/>
  <c r="O55" i="19" s="1"/>
  <c r="AB55" i="19" s="1"/>
  <c r="H18" i="19"/>
  <c r="G18" i="19"/>
  <c r="E18" i="19"/>
  <c r="D18" i="19"/>
  <c r="B18" i="19"/>
  <c r="A18" i="19"/>
  <c r="A54" i="19" s="1"/>
  <c r="H17" i="19"/>
  <c r="G17" i="19"/>
  <c r="E17" i="19"/>
  <c r="D17" i="19"/>
  <c r="B17" i="19"/>
  <c r="A17" i="19"/>
  <c r="A53" i="19" s="1"/>
  <c r="AL53" i="19" s="1"/>
  <c r="H16" i="19"/>
  <c r="G16" i="19"/>
  <c r="E16" i="19"/>
  <c r="D16" i="19"/>
  <c r="B16" i="19"/>
  <c r="A16" i="19"/>
  <c r="A52" i="19" s="1"/>
  <c r="H15" i="19"/>
  <c r="G15" i="19"/>
  <c r="E15" i="19"/>
  <c r="D15" i="19"/>
  <c r="B15" i="19"/>
  <c r="A15" i="19"/>
  <c r="A51" i="19" s="1"/>
  <c r="H14" i="19"/>
  <c r="G14" i="19"/>
  <c r="C14" i="19"/>
  <c r="B14" i="19"/>
  <c r="A14" i="19"/>
  <c r="A50" i="19" s="1"/>
  <c r="H13" i="19"/>
  <c r="G13" i="19"/>
  <c r="C13" i="19"/>
  <c r="B13" i="19"/>
  <c r="A13" i="19"/>
  <c r="A49" i="19" s="1"/>
  <c r="O49" i="19" s="1"/>
  <c r="AB49" i="19" s="1"/>
  <c r="H12" i="19"/>
  <c r="F12" i="19"/>
  <c r="C12" i="19"/>
  <c r="B12" i="19"/>
  <c r="A12" i="19"/>
  <c r="A48" i="19" s="1"/>
  <c r="AL48" i="19" s="1"/>
  <c r="H11" i="19"/>
  <c r="F11" i="19"/>
  <c r="C11" i="19"/>
  <c r="B11" i="19"/>
  <c r="A11" i="19"/>
  <c r="A47" i="19" s="1"/>
  <c r="H10" i="19"/>
  <c r="F10" i="19"/>
  <c r="C10" i="19"/>
  <c r="B10" i="19"/>
  <c r="A10" i="19"/>
  <c r="A46" i="19" s="1"/>
  <c r="H9" i="19"/>
  <c r="F9" i="19"/>
  <c r="C9" i="19"/>
  <c r="B9" i="19"/>
  <c r="A9" i="19"/>
  <c r="A45" i="19" s="1"/>
  <c r="O45" i="19" s="1"/>
  <c r="AB45" i="19" s="1"/>
  <c r="H8" i="19"/>
  <c r="F8" i="19"/>
  <c r="C8" i="19"/>
  <c r="B8" i="19"/>
  <c r="A8" i="19"/>
  <c r="A44" i="19" s="1"/>
  <c r="AL44" i="19" s="1"/>
  <c r="H7" i="19"/>
  <c r="F7" i="19"/>
  <c r="C7" i="19"/>
  <c r="B7" i="19"/>
  <c r="A7" i="19"/>
  <c r="A43" i="19" s="1"/>
  <c r="H6" i="19"/>
  <c r="F6" i="19"/>
  <c r="C6" i="19"/>
  <c r="B6" i="19"/>
  <c r="A6" i="19"/>
  <c r="A42" i="19" s="1"/>
  <c r="AL42" i="19" s="1"/>
  <c r="H5" i="19"/>
  <c r="F5" i="19"/>
  <c r="C5" i="19"/>
  <c r="B5" i="19"/>
  <c r="A5" i="19"/>
  <c r="A41" i="19" s="1"/>
  <c r="H4" i="19"/>
  <c r="F4" i="19"/>
  <c r="C4" i="19"/>
  <c r="B4" i="19"/>
  <c r="A4" i="19"/>
  <c r="A40" i="19" s="1"/>
  <c r="H3" i="19"/>
  <c r="H38" i="19" s="1"/>
  <c r="V38" i="19" s="1"/>
  <c r="AI38" i="19" s="1"/>
  <c r="AS38" i="19" s="1"/>
  <c r="G3" i="19"/>
  <c r="G38" i="19" s="1"/>
  <c r="U38" i="19" s="1"/>
  <c r="AH38" i="19" s="1"/>
  <c r="AR38" i="19" s="1"/>
  <c r="F3" i="19"/>
  <c r="F38" i="19" s="1"/>
  <c r="T38" i="19" s="1"/>
  <c r="AG38" i="19" s="1"/>
  <c r="AQ38" i="19" s="1"/>
  <c r="E3" i="19"/>
  <c r="E38" i="19" s="1"/>
  <c r="S38" i="19" s="1"/>
  <c r="AF38" i="19" s="1"/>
  <c r="AP38" i="19" s="1"/>
  <c r="D3" i="19"/>
  <c r="D38" i="19" s="1"/>
  <c r="R38" i="19" s="1"/>
  <c r="AE38" i="19" s="1"/>
  <c r="AO38" i="19" s="1"/>
  <c r="C3" i="19"/>
  <c r="C38" i="19" s="1"/>
  <c r="Q38" i="19" s="1"/>
  <c r="AD38" i="19" s="1"/>
  <c r="AN38" i="19" s="1"/>
  <c r="B3" i="19"/>
  <c r="B38" i="19" s="1"/>
  <c r="P38" i="19" s="1"/>
  <c r="AC38" i="19" s="1"/>
  <c r="AM38" i="19" s="1"/>
  <c r="A3" i="19"/>
  <c r="H2" i="19"/>
  <c r="H37" i="19" s="1"/>
  <c r="V37" i="19" s="1"/>
  <c r="AI37" i="19" s="1"/>
  <c r="AS37" i="19" s="1"/>
  <c r="G2" i="19"/>
  <c r="G37" i="19" s="1"/>
  <c r="U37" i="19" s="1"/>
  <c r="AH37" i="19" s="1"/>
  <c r="AR37" i="19" s="1"/>
  <c r="F2" i="19"/>
  <c r="F37" i="19" s="1"/>
  <c r="T37" i="19" s="1"/>
  <c r="AG37" i="19" s="1"/>
  <c r="AQ37" i="19" s="1"/>
  <c r="E2" i="19"/>
  <c r="E37" i="19" s="1"/>
  <c r="S37" i="19" s="1"/>
  <c r="AF37" i="19" s="1"/>
  <c r="AP37" i="19" s="1"/>
  <c r="D2" i="19"/>
  <c r="D37" i="19" s="1"/>
  <c r="R37" i="19" s="1"/>
  <c r="AE37" i="19" s="1"/>
  <c r="AO37" i="19" s="1"/>
  <c r="C2" i="19"/>
  <c r="C37" i="19" s="1"/>
  <c r="Q37" i="19" s="1"/>
  <c r="AD37" i="19" s="1"/>
  <c r="AN37" i="19" s="1"/>
  <c r="B2" i="19"/>
  <c r="B37" i="19" s="1"/>
  <c r="P37" i="19" s="1"/>
  <c r="AC37" i="19" s="1"/>
  <c r="AM37" i="19" s="1"/>
  <c r="O40" i="22" l="1"/>
  <c r="Q41" i="26"/>
  <c r="O42" i="29"/>
  <c r="O43" i="29" s="1"/>
  <c r="O44" i="29" s="1"/>
  <c r="O45" i="29" s="1"/>
  <c r="O46" i="29" s="1"/>
  <c r="O47" i="29" s="1"/>
  <c r="O48" i="29" s="1"/>
  <c r="O49" i="29" s="1"/>
  <c r="O50" i="29" s="1"/>
  <c r="O51" i="29" s="1"/>
  <c r="O52" i="29" s="1"/>
  <c r="O53" i="29" s="1"/>
  <c r="O54" i="29" s="1"/>
  <c r="O55" i="29" s="1"/>
  <c r="O56" i="29" s="1"/>
  <c r="O57" i="29" s="1"/>
  <c r="O58" i="29" s="1"/>
  <c r="O59" i="29" s="1"/>
  <c r="O60" i="29" s="1"/>
  <c r="O61" i="29" s="1"/>
  <c r="O62" i="29" s="1"/>
  <c r="O63" i="29" s="1"/>
  <c r="O64" i="29" s="1"/>
  <c r="O65" i="29" s="1"/>
  <c r="F41" i="29"/>
  <c r="W41" i="29" s="1"/>
  <c r="H41" i="29"/>
  <c r="Y41" i="29" s="1"/>
  <c r="C41" i="29"/>
  <c r="T41" i="29" s="1"/>
  <c r="B41" i="29"/>
  <c r="S41" i="29" s="1"/>
  <c r="Z40" i="29"/>
  <c r="AM40" i="29" s="1"/>
  <c r="Y40" i="28"/>
  <c r="Q43" i="28"/>
  <c r="X42" i="28"/>
  <c r="W42" i="28"/>
  <c r="C45" i="28"/>
  <c r="P43" i="28"/>
  <c r="F45" i="28"/>
  <c r="H44" i="28"/>
  <c r="I44" i="28" s="1"/>
  <c r="J44" i="28" s="1"/>
  <c r="K44" i="28" s="1"/>
  <c r="L44" i="28" s="1"/>
  <c r="V43" i="28"/>
  <c r="B45" i="28"/>
  <c r="Y41" i="28"/>
  <c r="T43" i="28"/>
  <c r="O41" i="26"/>
  <c r="O42" i="26" s="1"/>
  <c r="O43" i="26" s="1"/>
  <c r="O44" i="26" s="1"/>
  <c r="O45" i="26" s="1"/>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AN40" i="25"/>
  <c r="C41" i="25" s="1"/>
  <c r="AI40" i="25"/>
  <c r="AD40" i="25"/>
  <c r="AS40" i="25"/>
  <c r="H41" i="25" s="1"/>
  <c r="Q40" i="25"/>
  <c r="AM40" i="25"/>
  <c r="V40" i="25"/>
  <c r="AQ40" i="25"/>
  <c r="F41" i="25" s="1"/>
  <c r="P40" i="25"/>
  <c r="AG40" i="25"/>
  <c r="AC40" i="25"/>
  <c r="T40" i="25"/>
  <c r="J40" i="25"/>
  <c r="K40" i="25" s="1"/>
  <c r="L40" i="25" s="1"/>
  <c r="J40" i="24"/>
  <c r="K40" i="24" s="1"/>
  <c r="L40" i="24" s="1"/>
  <c r="O40" i="23"/>
  <c r="J40" i="23"/>
  <c r="K40" i="23" s="1"/>
  <c r="L40" i="23" s="1"/>
  <c r="J40" i="21"/>
  <c r="K40" i="21" s="1"/>
  <c r="L40" i="21" s="1"/>
  <c r="J40" i="22"/>
  <c r="K40" i="22" s="1"/>
  <c r="L40" i="22" s="1"/>
  <c r="AI39" i="20"/>
  <c r="AU39" i="20" s="1"/>
  <c r="BE39" i="20" s="1"/>
  <c r="AH39" i="20"/>
  <c r="AT39" i="20" s="1"/>
  <c r="BD39" i="20" s="1"/>
  <c r="B40" i="19"/>
  <c r="AI38" i="20"/>
  <c r="AU38" i="20" s="1"/>
  <c r="BE38" i="20" s="1"/>
  <c r="T38" i="20"/>
  <c r="H40" i="19"/>
  <c r="AH37" i="20"/>
  <c r="AT37" i="20" s="1"/>
  <c r="BD37" i="20" s="1"/>
  <c r="S37" i="20"/>
  <c r="AG40" i="20"/>
  <c r="AS40" i="20" s="1"/>
  <c r="BC40" i="20" s="1"/>
  <c r="N40" i="20"/>
  <c r="AG48" i="20"/>
  <c r="AS48" i="20" s="1"/>
  <c r="BC48" i="20" s="1"/>
  <c r="AJ37" i="20"/>
  <c r="AV37" i="20" s="1"/>
  <c r="BF37" i="20" s="1"/>
  <c r="I40" i="20"/>
  <c r="R47" i="20"/>
  <c r="N47" i="20"/>
  <c r="AG47" i="20"/>
  <c r="AS47" i="20" s="1"/>
  <c r="BC47" i="20" s="1"/>
  <c r="V38" i="20"/>
  <c r="AK38" i="20"/>
  <c r="AW38" i="20" s="1"/>
  <c r="BG38" i="20" s="1"/>
  <c r="W37" i="20"/>
  <c r="AL37" i="20"/>
  <c r="AX37" i="20" s="1"/>
  <c r="BH37" i="20" s="1"/>
  <c r="AM38" i="20"/>
  <c r="AY38" i="20" s="1"/>
  <c r="BI38" i="20" s="1"/>
  <c r="X38" i="20"/>
  <c r="AG44" i="20"/>
  <c r="AS44" i="20" s="1"/>
  <c r="BC44" i="20" s="1"/>
  <c r="N44" i="20"/>
  <c r="R44" i="20"/>
  <c r="AL38" i="20"/>
  <c r="AX38" i="20" s="1"/>
  <c r="BH38" i="20" s="1"/>
  <c r="W38" i="20"/>
  <c r="N60" i="20"/>
  <c r="R60" i="20"/>
  <c r="AG60" i="20"/>
  <c r="AS60" i="20" s="1"/>
  <c r="BC60" i="20" s="1"/>
  <c r="AJ38" i="20"/>
  <c r="AV38" i="20" s="1"/>
  <c r="BF38" i="20" s="1"/>
  <c r="U38" i="20"/>
  <c r="AH38" i="20"/>
  <c r="AT38" i="20" s="1"/>
  <c r="BD38" i="20" s="1"/>
  <c r="S38" i="20"/>
  <c r="AG49" i="20"/>
  <c r="AS49" i="20" s="1"/>
  <c r="BC49" i="20" s="1"/>
  <c r="N49" i="20"/>
  <c r="R49" i="20"/>
  <c r="V37" i="20"/>
  <c r="AK37" i="20"/>
  <c r="AW37" i="20" s="1"/>
  <c r="BG37" i="20" s="1"/>
  <c r="AG46" i="20"/>
  <c r="AS46" i="20" s="1"/>
  <c r="BC46" i="20" s="1"/>
  <c r="N46" i="20"/>
  <c r="X37" i="20"/>
  <c r="Y37" i="20"/>
  <c r="AN39" i="20"/>
  <c r="AZ39" i="20" s="1"/>
  <c r="BJ39" i="20" s="1"/>
  <c r="AG41" i="20"/>
  <c r="AS41" i="20" s="1"/>
  <c r="BC41" i="20" s="1"/>
  <c r="R41" i="20"/>
  <c r="R42" i="20"/>
  <c r="N42" i="20"/>
  <c r="T37" i="20"/>
  <c r="AN38" i="20"/>
  <c r="AZ38" i="20" s="1"/>
  <c r="BJ38" i="20" s="1"/>
  <c r="Y38" i="20"/>
  <c r="N51" i="20"/>
  <c r="R51" i="20"/>
  <c r="N52" i="20"/>
  <c r="AG52" i="20"/>
  <c r="AS52" i="20" s="1"/>
  <c r="BC52" i="20" s="1"/>
  <c r="R54" i="20"/>
  <c r="AG54" i="20"/>
  <c r="AS54" i="20" s="1"/>
  <c r="BC54" i="20" s="1"/>
  <c r="R55" i="20"/>
  <c r="AG55" i="20"/>
  <c r="AS55" i="20" s="1"/>
  <c r="BC55" i="20" s="1"/>
  <c r="N55" i="20"/>
  <c r="AG56" i="20"/>
  <c r="AS56" i="20" s="1"/>
  <c r="BC56" i="20" s="1"/>
  <c r="N56" i="20"/>
  <c r="R56" i="20"/>
  <c r="AG57" i="20"/>
  <c r="AS57" i="20" s="1"/>
  <c r="BC57" i="20" s="1"/>
  <c r="R57" i="20"/>
  <c r="N57" i="20"/>
  <c r="R58" i="20"/>
  <c r="AG58" i="20"/>
  <c r="AS58" i="20" s="1"/>
  <c r="BC58" i="20" s="1"/>
  <c r="N58" i="20"/>
  <c r="R59" i="20"/>
  <c r="N59" i="20"/>
  <c r="AG59" i="20"/>
  <c r="AS59" i="20" s="1"/>
  <c r="BC59" i="20" s="1"/>
  <c r="AG61" i="20"/>
  <c r="AS61" i="20" s="1"/>
  <c r="BC61" i="20" s="1"/>
  <c r="N61" i="20"/>
  <c r="R61" i="20"/>
  <c r="AG62" i="20"/>
  <c r="AS62" i="20" s="1"/>
  <c r="BC62" i="20" s="1"/>
  <c r="R62" i="20"/>
  <c r="N62" i="20"/>
  <c r="R63" i="20"/>
  <c r="AG63" i="20"/>
  <c r="AS63" i="20" s="1"/>
  <c r="BC63" i="20" s="1"/>
  <c r="N64" i="20"/>
  <c r="R64" i="20"/>
  <c r="AG64" i="20"/>
  <c r="AS64" i="20" s="1"/>
  <c r="BC64" i="20" s="1"/>
  <c r="N65" i="20"/>
  <c r="AG65" i="20"/>
  <c r="AS65" i="20" s="1"/>
  <c r="BC65" i="20" s="1"/>
  <c r="R65" i="20"/>
  <c r="R66" i="20"/>
  <c r="AG66" i="20"/>
  <c r="AS66" i="20" s="1"/>
  <c r="BC66" i="20" s="1"/>
  <c r="R67" i="20"/>
  <c r="N67" i="20"/>
  <c r="AG67" i="20"/>
  <c r="AS67" i="20" s="1"/>
  <c r="BC67" i="20" s="1"/>
  <c r="R46" i="20"/>
  <c r="AG43" i="20"/>
  <c r="AS43" i="20" s="1"/>
  <c r="BC43" i="20" s="1"/>
  <c r="R43" i="20"/>
  <c r="R50" i="20"/>
  <c r="AG50" i="20"/>
  <c r="AS50" i="20" s="1"/>
  <c r="BC50" i="20" s="1"/>
  <c r="N50" i="20"/>
  <c r="R40" i="20"/>
  <c r="R45" i="20"/>
  <c r="N45" i="20"/>
  <c r="AG45" i="20"/>
  <c r="AS45" i="20" s="1"/>
  <c r="BC45" i="20" s="1"/>
  <c r="AL39" i="20"/>
  <c r="AX39" i="20" s="1"/>
  <c r="BH39" i="20" s="1"/>
  <c r="AG42" i="20"/>
  <c r="AS42" i="20" s="1"/>
  <c r="BC42" i="20" s="1"/>
  <c r="R53" i="20"/>
  <c r="N53" i="20"/>
  <c r="AG53" i="20"/>
  <c r="AS53" i="20" s="1"/>
  <c r="BC53" i="20" s="1"/>
  <c r="R48" i="20"/>
  <c r="O51" i="19"/>
  <c r="AB51" i="19" s="1"/>
  <c r="AL51" i="19"/>
  <c r="AL40" i="19"/>
  <c r="O40" i="19"/>
  <c r="AB40" i="19" s="1"/>
  <c r="O59" i="19"/>
  <c r="AB59" i="19" s="1"/>
  <c r="AL55" i="19"/>
  <c r="AL45" i="19"/>
  <c r="O53" i="19"/>
  <c r="AB53" i="19" s="1"/>
  <c r="O44" i="19"/>
  <c r="AB44" i="19" s="1"/>
  <c r="O42" i="19"/>
  <c r="AB42" i="19" s="1"/>
  <c r="O43" i="19"/>
  <c r="AB43" i="19" s="1"/>
  <c r="AL43" i="19"/>
  <c r="O47" i="19"/>
  <c r="AB47" i="19" s="1"/>
  <c r="AL47" i="19"/>
  <c r="O57" i="19"/>
  <c r="AB57" i="19" s="1"/>
  <c r="AL57" i="19"/>
  <c r="AL61" i="19"/>
  <c r="O61" i="19"/>
  <c r="AB61" i="19" s="1"/>
  <c r="I39" i="19"/>
  <c r="T39" i="19" s="1"/>
  <c r="AG39" i="19" s="1"/>
  <c r="AQ39" i="19" s="1"/>
  <c r="O56" i="19"/>
  <c r="AB56" i="19" s="1"/>
  <c r="AL56" i="19"/>
  <c r="O60" i="19"/>
  <c r="AB60" i="19" s="1"/>
  <c r="AL60" i="19"/>
  <c r="AL64" i="19"/>
  <c r="O64" i="19"/>
  <c r="AB64" i="19" s="1"/>
  <c r="AL49" i="19"/>
  <c r="AL46" i="19"/>
  <c r="O46" i="19"/>
  <c r="AB46" i="19" s="1"/>
  <c r="C40" i="19"/>
  <c r="O52" i="19"/>
  <c r="AB52" i="19" s="1"/>
  <c r="AL52" i="19"/>
  <c r="AL50" i="19"/>
  <c r="O50" i="19"/>
  <c r="AB50" i="19" s="1"/>
  <c r="AL54" i="19"/>
  <c r="O54" i="19"/>
  <c r="AB54" i="19" s="1"/>
  <c r="AL62" i="19"/>
  <c r="O62" i="19"/>
  <c r="AB62" i="19" s="1"/>
  <c r="F40" i="19"/>
  <c r="AL41" i="19"/>
  <c r="O41" i="19"/>
  <c r="AB41" i="19" s="1"/>
  <c r="O48" i="19"/>
  <c r="AB48" i="19" s="1"/>
  <c r="AL63" i="19"/>
  <c r="AL58" i="19"/>
  <c r="O58" i="19"/>
  <c r="AB58" i="19" s="1"/>
  <c r="N31" i="12"/>
  <c r="O31" i="12"/>
  <c r="A31" i="12"/>
  <c r="A67" i="12" s="1"/>
  <c r="AG67" i="12" s="1"/>
  <c r="B31" i="12"/>
  <c r="D31" i="12"/>
  <c r="E31" i="12"/>
  <c r="G31" i="12"/>
  <c r="H31" i="12"/>
  <c r="A31" i="10"/>
  <c r="Y42" i="28" l="1"/>
  <c r="A67" i="10"/>
  <c r="AG67" i="10" s="1"/>
  <c r="AS67" i="10" s="1"/>
  <c r="BC67" i="10" s="1"/>
  <c r="O66" i="29"/>
  <c r="I71" i="29" s="1"/>
  <c r="I74" i="29" s="1"/>
  <c r="I41" i="29"/>
  <c r="H42" i="29"/>
  <c r="Y42" i="29" s="1"/>
  <c r="AA40" i="29"/>
  <c r="AB40" i="29" s="1"/>
  <c r="AC40" i="29" s="1"/>
  <c r="AD40" i="29"/>
  <c r="AH40" i="29"/>
  <c r="AK40" i="29"/>
  <c r="AG40" i="29"/>
  <c r="C42" i="29"/>
  <c r="T42" i="29" s="1"/>
  <c r="F42" i="29"/>
  <c r="W42" i="29" s="1"/>
  <c r="P44" i="28"/>
  <c r="T44" i="28"/>
  <c r="X43" i="28"/>
  <c r="W43" i="28"/>
  <c r="B46" i="28"/>
  <c r="H45" i="28"/>
  <c r="V44" i="28"/>
  <c r="Q44" i="28"/>
  <c r="F46" i="28"/>
  <c r="C46" i="28"/>
  <c r="Z40" i="26"/>
  <c r="AN40" i="26" s="1"/>
  <c r="AT40" i="25"/>
  <c r="AU40" i="25" s="1"/>
  <c r="B41" i="25"/>
  <c r="I41" i="25" s="1"/>
  <c r="AC41" i="25" s="1"/>
  <c r="X40" i="25"/>
  <c r="W40" i="25"/>
  <c r="T40" i="23"/>
  <c r="O41" i="23"/>
  <c r="O42" i="23" s="1"/>
  <c r="O43" i="23" s="1"/>
  <c r="O44" i="23" s="1"/>
  <c r="O45" i="23" s="1"/>
  <c r="O46" i="23" s="1"/>
  <c r="O47" i="23" s="1"/>
  <c r="O48" i="23" s="1"/>
  <c r="O49" i="23" s="1"/>
  <c r="O50" i="23" s="1"/>
  <c r="O51" i="23" s="1"/>
  <c r="O52" i="23" s="1"/>
  <c r="O53" i="23" s="1"/>
  <c r="O54" i="23" s="1"/>
  <c r="O55" i="23" s="1"/>
  <c r="O56" i="23" s="1"/>
  <c r="O57" i="23" s="1"/>
  <c r="O58" i="23" s="1"/>
  <c r="O59" i="23" s="1"/>
  <c r="O60" i="23" s="1"/>
  <c r="O61" i="23" s="1"/>
  <c r="O62" i="23" s="1"/>
  <c r="O63" i="23" s="1"/>
  <c r="O64" i="23" s="1"/>
  <c r="O65" i="23" s="1"/>
  <c r="W40" i="23"/>
  <c r="Y40" i="23"/>
  <c r="S40" i="23"/>
  <c r="O41" i="22"/>
  <c r="O42" i="22" s="1"/>
  <c r="O43" i="22" s="1"/>
  <c r="O44" i="22" s="1"/>
  <c r="O45" i="22" s="1"/>
  <c r="O46" i="22" s="1"/>
  <c r="O47" i="22" s="1"/>
  <c r="O48" i="22" s="1"/>
  <c r="O49" i="22" s="1"/>
  <c r="O50" i="22" s="1"/>
  <c r="O51" i="22" s="1"/>
  <c r="O52" i="22" s="1"/>
  <c r="O53" i="22" s="1"/>
  <c r="O54" i="22" s="1"/>
  <c r="O55" i="22" s="1"/>
  <c r="O56" i="22" s="1"/>
  <c r="O57" i="22" s="1"/>
  <c r="O58" i="22" s="1"/>
  <c r="O59" i="22" s="1"/>
  <c r="O60" i="22" s="1"/>
  <c r="O61" i="22" s="1"/>
  <c r="O62" i="22" s="1"/>
  <c r="O63" i="22" s="1"/>
  <c r="O64" i="22" s="1"/>
  <c r="O65" i="22" s="1"/>
  <c r="S40" i="22"/>
  <c r="T40" i="22"/>
  <c r="Y40" i="22"/>
  <c r="W40" i="22"/>
  <c r="O41" i="24"/>
  <c r="O42" i="24" s="1"/>
  <c r="O43" i="24" s="1"/>
  <c r="O44" i="24" s="1"/>
  <c r="O45" i="24" s="1"/>
  <c r="O46" i="24" s="1"/>
  <c r="O47" i="24" s="1"/>
  <c r="O48" i="24" s="1"/>
  <c r="O49" i="24" s="1"/>
  <c r="O50" i="24" s="1"/>
  <c r="O51" i="24" s="1"/>
  <c r="T40" i="24"/>
  <c r="Y40" i="24"/>
  <c r="S40" i="24"/>
  <c r="W40" i="24"/>
  <c r="O41" i="21"/>
  <c r="O42" i="21" s="1"/>
  <c r="O43" i="21" s="1"/>
  <c r="O44" i="21" s="1"/>
  <c r="O45" i="21" s="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W40" i="21"/>
  <c r="T40" i="21"/>
  <c r="S40" i="21"/>
  <c r="Y40" i="21"/>
  <c r="P39" i="19"/>
  <c r="AC39" i="19" s="1"/>
  <c r="AM39" i="19" s="1"/>
  <c r="AS67" i="12"/>
  <c r="N67" i="10"/>
  <c r="R67" i="10"/>
  <c r="R67" i="12"/>
  <c r="N67" i="12"/>
  <c r="I40" i="19"/>
  <c r="Q40" i="19" s="1"/>
  <c r="J40" i="20"/>
  <c r="K40" i="20" s="1"/>
  <c r="L40" i="20" s="1"/>
  <c r="O40" i="20"/>
  <c r="V39" i="19"/>
  <c r="AI39" i="19" s="1"/>
  <c r="AS39" i="19" s="1"/>
  <c r="Q39" i="19"/>
  <c r="AD39" i="19" s="1"/>
  <c r="AN39" i="19" s="1"/>
  <c r="W39" i="19"/>
  <c r="AJ39" i="19" s="1"/>
  <c r="AT39" i="19" s="1"/>
  <c r="H31" i="10"/>
  <c r="G31" i="10"/>
  <c r="E31" i="10"/>
  <c r="D31" i="10"/>
  <c r="B31" i="10"/>
  <c r="H30" i="10"/>
  <c r="G30" i="10"/>
  <c r="E30" i="10"/>
  <c r="D30" i="10"/>
  <c r="B30" i="10"/>
  <c r="A30" i="10"/>
  <c r="H29" i="10"/>
  <c r="G29" i="10"/>
  <c r="E29" i="10"/>
  <c r="D29" i="10"/>
  <c r="B29" i="10"/>
  <c r="A29" i="10"/>
  <c r="H28" i="10"/>
  <c r="G28" i="10"/>
  <c r="E28" i="10"/>
  <c r="D28" i="10"/>
  <c r="B28" i="10"/>
  <c r="A28" i="10"/>
  <c r="H27" i="10"/>
  <c r="G27" i="10"/>
  <c r="E27" i="10"/>
  <c r="D27" i="10"/>
  <c r="B27" i="10"/>
  <c r="A27" i="10"/>
  <c r="H26" i="10"/>
  <c r="G26" i="10"/>
  <c r="E26" i="10"/>
  <c r="D26" i="10"/>
  <c r="B26" i="10"/>
  <c r="A26" i="10"/>
  <c r="H25" i="10"/>
  <c r="G25" i="10"/>
  <c r="E25" i="10"/>
  <c r="D25" i="10"/>
  <c r="B25" i="10"/>
  <c r="A25" i="10"/>
  <c r="H24" i="10"/>
  <c r="G24" i="10"/>
  <c r="E24" i="10"/>
  <c r="D24" i="10"/>
  <c r="B24" i="10"/>
  <c r="A24" i="10"/>
  <c r="H23" i="10"/>
  <c r="G23" i="10"/>
  <c r="E23" i="10"/>
  <c r="D23" i="10"/>
  <c r="B23" i="10"/>
  <c r="A23" i="10"/>
  <c r="H22" i="10"/>
  <c r="G22" i="10"/>
  <c r="E22" i="10"/>
  <c r="D22" i="10"/>
  <c r="B22" i="10"/>
  <c r="A22" i="10"/>
  <c r="H21" i="10"/>
  <c r="G21" i="10"/>
  <c r="E21" i="10"/>
  <c r="D21" i="10"/>
  <c r="B21" i="10"/>
  <c r="A21" i="10"/>
  <c r="H20" i="10"/>
  <c r="G20" i="10"/>
  <c r="E20" i="10"/>
  <c r="D20" i="10"/>
  <c r="B20" i="10"/>
  <c r="A20" i="10"/>
  <c r="H19" i="10"/>
  <c r="G19" i="10"/>
  <c r="E19" i="10"/>
  <c r="D19" i="10"/>
  <c r="B19" i="10"/>
  <c r="A19" i="10"/>
  <c r="H18" i="10"/>
  <c r="G18" i="10"/>
  <c r="E18" i="10"/>
  <c r="D18" i="10"/>
  <c r="B18" i="10"/>
  <c r="A18" i="10"/>
  <c r="H17" i="10"/>
  <c r="G17" i="10"/>
  <c r="E17" i="10"/>
  <c r="D17" i="10"/>
  <c r="B17" i="10"/>
  <c r="A17" i="10"/>
  <c r="H16" i="10"/>
  <c r="G16" i="10"/>
  <c r="E16" i="10"/>
  <c r="D16" i="10"/>
  <c r="B16" i="10"/>
  <c r="A16" i="10"/>
  <c r="A5" i="10"/>
  <c r="A6" i="10"/>
  <c r="A7" i="10"/>
  <c r="A8" i="10"/>
  <c r="A9" i="10"/>
  <c r="A10" i="10"/>
  <c r="A11" i="10"/>
  <c r="A12" i="10"/>
  <c r="A13" i="10"/>
  <c r="A14" i="10"/>
  <c r="A15" i="10"/>
  <c r="H15" i="10"/>
  <c r="G15" i="10"/>
  <c r="E15" i="10"/>
  <c r="D15" i="10"/>
  <c r="B15" i="10"/>
  <c r="H14" i="10"/>
  <c r="G14" i="10"/>
  <c r="C14" i="10"/>
  <c r="B14" i="10"/>
  <c r="H13" i="10"/>
  <c r="G13" i="10"/>
  <c r="C13" i="10"/>
  <c r="B13" i="10"/>
  <c r="H12" i="10"/>
  <c r="F12" i="10"/>
  <c r="C12" i="10"/>
  <c r="B12" i="10"/>
  <c r="H11" i="10"/>
  <c r="F11" i="10"/>
  <c r="C11" i="10"/>
  <c r="B11" i="10"/>
  <c r="H10" i="10"/>
  <c r="F10" i="10"/>
  <c r="C10" i="10"/>
  <c r="B10" i="10"/>
  <c r="H9" i="10"/>
  <c r="F9" i="10"/>
  <c r="C9" i="10"/>
  <c r="B9" i="10"/>
  <c r="H8" i="10"/>
  <c r="F8" i="10"/>
  <c r="C8" i="10"/>
  <c r="B8" i="10"/>
  <c r="H7" i="10"/>
  <c r="F7" i="10"/>
  <c r="C7" i="10"/>
  <c r="B7" i="10"/>
  <c r="H6" i="10"/>
  <c r="F6" i="10"/>
  <c r="C6" i="10"/>
  <c r="B6" i="10"/>
  <c r="H5" i="10"/>
  <c r="F5" i="10"/>
  <c r="C5" i="10"/>
  <c r="B5" i="10"/>
  <c r="H4" i="10"/>
  <c r="F4" i="10"/>
  <c r="C4" i="10"/>
  <c r="B4" i="10"/>
  <c r="A4" i="10"/>
  <c r="A31" i="14"/>
  <c r="O52" i="24" l="1"/>
  <c r="O53" i="24"/>
  <c r="O54" i="24" s="1"/>
  <c r="O55" i="24" s="1"/>
  <c r="O56" i="24" s="1"/>
  <c r="O57" i="24" s="1"/>
  <c r="O58" i="24" s="1"/>
  <c r="O59" i="24" s="1"/>
  <c r="O60" i="24" s="1"/>
  <c r="O61" i="24" s="1"/>
  <c r="O62" i="24" s="1"/>
  <c r="O63" i="24" s="1"/>
  <c r="O64" i="24" s="1"/>
  <c r="O65" i="24" s="1"/>
  <c r="Y40" i="25"/>
  <c r="W44" i="28"/>
  <c r="Y43" i="28"/>
  <c r="H43" i="29"/>
  <c r="Y43" i="29" s="1"/>
  <c r="C43" i="29"/>
  <c r="T43" i="29" s="1"/>
  <c r="J41" i="29"/>
  <c r="K41" i="29" s="1"/>
  <c r="L41" i="29" s="1"/>
  <c r="F43" i="29"/>
  <c r="W43" i="29" s="1"/>
  <c r="AO40" i="29"/>
  <c r="AN40" i="29"/>
  <c r="Z41" i="29"/>
  <c r="B42" i="29"/>
  <c r="S42" i="29" s="1"/>
  <c r="X44" i="28"/>
  <c r="B47" i="28"/>
  <c r="C47" i="28"/>
  <c r="H46" i="28"/>
  <c r="F47" i="28"/>
  <c r="I45" i="28"/>
  <c r="O66" i="26"/>
  <c r="I71" i="26" s="1"/>
  <c r="I74" i="26" s="1"/>
  <c r="AI40" i="26"/>
  <c r="BA40" i="26"/>
  <c r="AA40" i="26"/>
  <c r="AB40" i="26" s="1"/>
  <c r="AC40" i="26" s="1"/>
  <c r="BK40" i="26"/>
  <c r="AD40" i="26"/>
  <c r="AZ40" i="26"/>
  <c r="AU40" i="26"/>
  <c r="AH40" i="26"/>
  <c r="AL40" i="26"/>
  <c r="AT40" i="26"/>
  <c r="AX40" i="26"/>
  <c r="P41" i="25"/>
  <c r="AT41" i="25"/>
  <c r="AU41" i="25" s="1"/>
  <c r="AM41" i="25"/>
  <c r="B42" i="25" s="1"/>
  <c r="AS41" i="25"/>
  <c r="H42" i="25" s="1"/>
  <c r="AN41" i="25"/>
  <c r="C42" i="25" s="1"/>
  <c r="AQ41" i="25"/>
  <c r="F42" i="25" s="1"/>
  <c r="AJ41" i="25"/>
  <c r="J41" i="25"/>
  <c r="K41" i="25" s="1"/>
  <c r="L41" i="25" s="1"/>
  <c r="AD41" i="25"/>
  <c r="Q41" i="25"/>
  <c r="AI41" i="25"/>
  <c r="AG41" i="25"/>
  <c r="V41" i="25"/>
  <c r="T41" i="25"/>
  <c r="B41" i="21"/>
  <c r="Z40" i="21"/>
  <c r="AM40" i="21" s="1"/>
  <c r="AU40" i="24"/>
  <c r="C41" i="24" s="1"/>
  <c r="T41" i="24" s="1"/>
  <c r="C41" i="21"/>
  <c r="T41" i="21" s="1"/>
  <c r="Z40" i="23"/>
  <c r="AT40" i="23" s="1"/>
  <c r="F41" i="21"/>
  <c r="W41" i="21" s="1"/>
  <c r="BH40" i="22"/>
  <c r="F41" i="22" s="1"/>
  <c r="W41" i="22" s="1"/>
  <c r="O66" i="21"/>
  <c r="I71" i="21" s="1"/>
  <c r="I74" i="21" s="1"/>
  <c r="AX40" i="24"/>
  <c r="F41" i="24" s="1"/>
  <c r="W41" i="24" s="1"/>
  <c r="BE40" i="22"/>
  <c r="C41" i="22" s="1"/>
  <c r="T41" i="22" s="1"/>
  <c r="BE41" i="22" s="1"/>
  <c r="H41" i="21"/>
  <c r="Y41" i="21" s="1"/>
  <c r="AZ40" i="24"/>
  <c r="H41" i="24" s="1"/>
  <c r="Y41" i="24" s="1"/>
  <c r="BJ40" i="22"/>
  <c r="H41" i="22" s="1"/>
  <c r="Y41" i="22" s="1"/>
  <c r="BJ41" i="22" s="1"/>
  <c r="AT40" i="24"/>
  <c r="B41" i="24" s="1"/>
  <c r="Z40" i="24"/>
  <c r="AN40" i="24" s="1"/>
  <c r="Z40" i="22"/>
  <c r="AX40" i="22" s="1"/>
  <c r="BD40" i="22"/>
  <c r="B41" i="22" s="1"/>
  <c r="V40" i="19"/>
  <c r="AG40" i="19"/>
  <c r="P40" i="19"/>
  <c r="J40" i="19"/>
  <c r="K40" i="19" s="1"/>
  <c r="L40" i="19" s="1"/>
  <c r="AD40" i="19"/>
  <c r="AS40" i="19"/>
  <c r="AC40" i="19"/>
  <c r="AJ40" i="19"/>
  <c r="AM40" i="19"/>
  <c r="AI40" i="19"/>
  <c r="T40" i="19"/>
  <c r="AQ40" i="19"/>
  <c r="O41" i="20"/>
  <c r="O42" i="20" s="1"/>
  <c r="O43" i="20" s="1"/>
  <c r="O44" i="20" s="1"/>
  <c r="O45" i="20" s="1"/>
  <c r="O46" i="20" s="1"/>
  <c r="O47" i="20" s="1"/>
  <c r="O48" i="20" s="1"/>
  <c r="O49" i="20" s="1"/>
  <c r="O50" i="20" s="1"/>
  <c r="O51" i="20" s="1"/>
  <c r="O52" i="20" s="1"/>
  <c r="O53" i="20" s="1"/>
  <c r="O54" i="20" s="1"/>
  <c r="O55" i="20" s="1"/>
  <c r="O56" i="20" s="1"/>
  <c r="O57" i="20" s="1"/>
  <c r="O58" i="20" s="1"/>
  <c r="O59" i="20" s="1"/>
  <c r="O60" i="20" s="1"/>
  <c r="O61" i="20" s="1"/>
  <c r="O62" i="20" s="1"/>
  <c r="O63" i="20" s="1"/>
  <c r="O64" i="20" s="1"/>
  <c r="O65" i="20" s="1"/>
  <c r="O66" i="20" s="1"/>
  <c r="T40" i="20"/>
  <c r="S40" i="20"/>
  <c r="W40" i="20"/>
  <c r="Y40" i="20"/>
  <c r="AN40" i="19"/>
  <c r="O31" i="10"/>
  <c r="N31" i="10"/>
  <c r="H31" i="9"/>
  <c r="G31" i="9"/>
  <c r="E31" i="9"/>
  <c r="D31" i="9"/>
  <c r="B31" i="9"/>
  <c r="A31" i="9"/>
  <c r="A67" i="9" s="1"/>
  <c r="H31" i="7"/>
  <c r="G31" i="7"/>
  <c r="E31" i="7"/>
  <c r="D31" i="7"/>
  <c r="B31" i="7"/>
  <c r="A31" i="7"/>
  <c r="E31" i="4"/>
  <c r="D31" i="4"/>
  <c r="A31" i="4"/>
  <c r="A30" i="14" s="1"/>
  <c r="BH41" i="22" l="1"/>
  <c r="O66" i="24"/>
  <c r="I71" i="24" s="1"/>
  <c r="I74" i="24" s="1"/>
  <c r="Y44" i="28"/>
  <c r="BS40" i="24"/>
  <c r="AI40" i="23"/>
  <c r="AL40" i="23"/>
  <c r="O66" i="22"/>
  <c r="I71" i="22" s="1"/>
  <c r="I74" i="22" s="1"/>
  <c r="AX40" i="23"/>
  <c r="AU40" i="23"/>
  <c r="AT40" i="22"/>
  <c r="AH40" i="22"/>
  <c r="AN40" i="23"/>
  <c r="AP40" i="29"/>
  <c r="F44" i="29"/>
  <c r="W44" i="29" s="1"/>
  <c r="C44" i="29"/>
  <c r="T44" i="29" s="1"/>
  <c r="AD41" i="29"/>
  <c r="AA41" i="29"/>
  <c r="AB41" i="29" s="1"/>
  <c r="AC41" i="29" s="1"/>
  <c r="AK41" i="29"/>
  <c r="AH41" i="29"/>
  <c r="AM41" i="29"/>
  <c r="AG41" i="29"/>
  <c r="I42" i="29"/>
  <c r="H44" i="29"/>
  <c r="Y44" i="29" s="1"/>
  <c r="H47" i="28"/>
  <c r="I47" i="28" s="1"/>
  <c r="I46" i="28"/>
  <c r="J45" i="28"/>
  <c r="K45" i="28" s="1"/>
  <c r="L45" i="28" s="1"/>
  <c r="Q45" i="28"/>
  <c r="T45" i="28"/>
  <c r="P45" i="28"/>
  <c r="F48" i="28"/>
  <c r="C48" i="28"/>
  <c r="V45" i="28"/>
  <c r="B48" i="28"/>
  <c r="BH40" i="26"/>
  <c r="F41" i="26" s="1"/>
  <c r="BE40" i="26"/>
  <c r="C41" i="26" s="1"/>
  <c r="BD40" i="26"/>
  <c r="BJ40" i="26"/>
  <c r="H41" i="26" s="1"/>
  <c r="Y41" i="26" s="1"/>
  <c r="AO40" i="26"/>
  <c r="AP40" i="26"/>
  <c r="X41" i="25"/>
  <c r="I42" i="25"/>
  <c r="P42" i="25" s="1"/>
  <c r="W41" i="25"/>
  <c r="BP40" i="24"/>
  <c r="AZ40" i="22"/>
  <c r="AL40" i="22"/>
  <c r="AZ40" i="23"/>
  <c r="AI40" i="24"/>
  <c r="AH40" i="24"/>
  <c r="AZ41" i="24"/>
  <c r="H42" i="24" s="1"/>
  <c r="Y42" i="24" s="1"/>
  <c r="AI40" i="22"/>
  <c r="AH40" i="23"/>
  <c r="AU41" i="24"/>
  <c r="C42" i="24" s="1"/>
  <c r="T42" i="24" s="1"/>
  <c r="C42" i="21"/>
  <c r="T42" i="21" s="1"/>
  <c r="AA40" i="21"/>
  <c r="AB40" i="21" s="1"/>
  <c r="AC40" i="21" s="1"/>
  <c r="AD40" i="21"/>
  <c r="O66" i="23"/>
  <c r="I71" i="23" s="1"/>
  <c r="I74" i="23" s="1"/>
  <c r="BO40" i="24"/>
  <c r="AX41" i="24"/>
  <c r="F42" i="24" s="1"/>
  <c r="W42" i="24" s="1"/>
  <c r="F42" i="21"/>
  <c r="W42" i="21" s="1"/>
  <c r="AG40" i="21"/>
  <c r="BK40" i="22"/>
  <c r="BA40" i="22"/>
  <c r="AD40" i="22"/>
  <c r="AA40" i="22"/>
  <c r="AB40" i="22" s="1"/>
  <c r="AC40" i="22" s="1"/>
  <c r="BL40" i="22"/>
  <c r="AD40" i="24"/>
  <c r="BB40" i="24"/>
  <c r="AA40" i="24"/>
  <c r="AB40" i="24" s="1"/>
  <c r="AC40" i="24" s="1"/>
  <c r="BV40" i="24"/>
  <c r="BA40" i="24"/>
  <c r="I41" i="24"/>
  <c r="S41" i="24"/>
  <c r="BU40" i="24"/>
  <c r="AU40" i="22"/>
  <c r="BA40" i="23"/>
  <c r="AA40" i="23"/>
  <c r="AB40" i="23" s="1"/>
  <c r="AC40" i="23" s="1"/>
  <c r="AD40" i="23"/>
  <c r="BK40" i="23"/>
  <c r="I41" i="22"/>
  <c r="S41" i="22"/>
  <c r="BD41" i="22" s="1"/>
  <c r="AN40" i="22"/>
  <c r="H42" i="21"/>
  <c r="Y42" i="21" s="1"/>
  <c r="AL40" i="24"/>
  <c r="AK40" i="21"/>
  <c r="AH40" i="21"/>
  <c r="S41" i="21"/>
  <c r="I41" i="21"/>
  <c r="W40" i="19"/>
  <c r="X40" i="19"/>
  <c r="Z40" i="20"/>
  <c r="AU40" i="20" s="1"/>
  <c r="O70" i="20"/>
  <c r="O67" i="20"/>
  <c r="O68" i="20" s="1"/>
  <c r="O69" i="20" s="1"/>
  <c r="R67" i="9"/>
  <c r="N67" i="9"/>
  <c r="AF67" i="9"/>
  <c r="A29" i="12"/>
  <c r="A65" i="12" s="1"/>
  <c r="B29" i="12"/>
  <c r="D29" i="12"/>
  <c r="E29" i="12"/>
  <c r="G29" i="12"/>
  <c r="H29" i="12"/>
  <c r="N29" i="12"/>
  <c r="O29" i="12"/>
  <c r="A30" i="12"/>
  <c r="A66" i="12" s="1"/>
  <c r="B30" i="12"/>
  <c r="D30" i="12"/>
  <c r="E30" i="12"/>
  <c r="G30" i="12"/>
  <c r="H30" i="12"/>
  <c r="N30" i="12"/>
  <c r="O30" i="12"/>
  <c r="N29" i="10"/>
  <c r="O29" i="10"/>
  <c r="N30" i="10"/>
  <c r="O30" i="10"/>
  <c r="A65" i="10"/>
  <c r="A66" i="10"/>
  <c r="A30" i="9"/>
  <c r="A66" i="9" s="1"/>
  <c r="B30" i="9"/>
  <c r="D30" i="9"/>
  <c r="E30" i="9"/>
  <c r="G30" i="9"/>
  <c r="H30" i="9"/>
  <c r="A5" i="7"/>
  <c r="A6" i="7"/>
  <c r="A7" i="7"/>
  <c r="A8" i="7"/>
  <c r="A9" i="7"/>
  <c r="A10" i="7"/>
  <c r="A11" i="7"/>
  <c r="A12" i="7"/>
  <c r="A13" i="7"/>
  <c r="A14" i="7"/>
  <c r="A15" i="7"/>
  <c r="A16" i="7"/>
  <c r="A17" i="7"/>
  <c r="A18" i="7"/>
  <c r="A19" i="7"/>
  <c r="A20" i="7"/>
  <c r="A21" i="7"/>
  <c r="A22" i="7"/>
  <c r="A23" i="7"/>
  <c r="A24" i="7"/>
  <c r="A25" i="7"/>
  <c r="A26" i="7"/>
  <c r="A27" i="7"/>
  <c r="A28" i="7"/>
  <c r="A29" i="7"/>
  <c r="A30" i="7"/>
  <c r="B30" i="7"/>
  <c r="D30" i="7"/>
  <c r="E30" i="7"/>
  <c r="G30" i="7"/>
  <c r="H30" i="7"/>
  <c r="A30" i="4"/>
  <c r="D30" i="4"/>
  <c r="E30" i="4"/>
  <c r="O71" i="20" l="1"/>
  <c r="I76" i="20" s="1"/>
  <c r="Y40" i="19"/>
  <c r="J47" i="28"/>
  <c r="K47" i="28" s="1"/>
  <c r="L47" i="28" s="1"/>
  <c r="AP40" i="22"/>
  <c r="J42" i="29"/>
  <c r="K42" i="29" s="1"/>
  <c r="L42" i="29" s="1"/>
  <c r="C45" i="29"/>
  <c r="T45" i="29" s="1"/>
  <c r="AO41" i="29"/>
  <c r="AN41" i="29"/>
  <c r="Z42" i="29"/>
  <c r="B43" i="29"/>
  <c r="S43" i="29" s="1"/>
  <c r="H45" i="29"/>
  <c r="Y45" i="29" s="1"/>
  <c r="F45" i="29"/>
  <c r="W45" i="29" s="1"/>
  <c r="C49" i="28"/>
  <c r="J46" i="28"/>
  <c r="K46" i="28" s="1"/>
  <c r="L46" i="28" s="1"/>
  <c r="T46" i="28"/>
  <c r="P46" i="28"/>
  <c r="Q46" i="28"/>
  <c r="P47" i="28"/>
  <c r="B49" i="28"/>
  <c r="T47" i="28"/>
  <c r="V46" i="28"/>
  <c r="Q47" i="28"/>
  <c r="W45" i="28"/>
  <c r="X45" i="28"/>
  <c r="G49" i="28"/>
  <c r="H48" i="28"/>
  <c r="V47" i="28"/>
  <c r="B41" i="26"/>
  <c r="S41" i="26" s="1"/>
  <c r="BL40" i="26"/>
  <c r="AQ40" i="26"/>
  <c r="AI42" i="25"/>
  <c r="V42" i="25"/>
  <c r="Y41" i="25"/>
  <c r="T42" i="25"/>
  <c r="AD42" i="25"/>
  <c r="Q42" i="25"/>
  <c r="AQ42" i="25"/>
  <c r="F43" i="25" s="1"/>
  <c r="AJ42" i="25"/>
  <c r="J42" i="25"/>
  <c r="K42" i="25" s="1"/>
  <c r="L42" i="25" s="1"/>
  <c r="AN42" i="25"/>
  <c r="C43" i="25" s="1"/>
  <c r="AS42" i="25"/>
  <c r="H43" i="25" s="1"/>
  <c r="AT42" i="25"/>
  <c r="AU42" i="25" s="1"/>
  <c r="AM42" i="25"/>
  <c r="B43" i="25" s="1"/>
  <c r="AG42" i="25"/>
  <c r="AC42" i="25"/>
  <c r="J41" i="22"/>
  <c r="K41" i="22" s="1"/>
  <c r="L41" i="22" s="1"/>
  <c r="J41" i="24"/>
  <c r="K41" i="24" s="1"/>
  <c r="L41" i="24" s="1"/>
  <c r="AO40" i="21"/>
  <c r="AN40" i="21"/>
  <c r="Z41" i="22"/>
  <c r="Z41" i="21"/>
  <c r="AG41" i="21" s="1"/>
  <c r="B42" i="21"/>
  <c r="BJ40" i="23"/>
  <c r="H41" i="23" s="1"/>
  <c r="Y41" i="23" s="1"/>
  <c r="BH40" i="23"/>
  <c r="F41" i="23" s="1"/>
  <c r="W41" i="23" s="1"/>
  <c r="BE40" i="23"/>
  <c r="C41" i="23" s="1"/>
  <c r="T41" i="23" s="1"/>
  <c r="BD40" i="23"/>
  <c r="F43" i="21"/>
  <c r="W43" i="21" s="1"/>
  <c r="H43" i="21"/>
  <c r="Y43" i="21" s="1"/>
  <c r="AZ42" i="24"/>
  <c r="H43" i="24" s="1"/>
  <c r="Y43" i="24" s="1"/>
  <c r="AO40" i="22"/>
  <c r="J41" i="21"/>
  <c r="K41" i="21" s="1"/>
  <c r="L41" i="21" s="1"/>
  <c r="AT41" i="24"/>
  <c r="B42" i="24" s="1"/>
  <c r="Z41" i="24"/>
  <c r="BO41" i="24" s="1"/>
  <c r="AO40" i="23"/>
  <c r="AP40" i="23"/>
  <c r="C43" i="21"/>
  <c r="T43" i="21" s="1"/>
  <c r="AX42" i="24"/>
  <c r="F43" i="24" s="1"/>
  <c r="W43" i="24" s="1"/>
  <c r="AU42" i="24"/>
  <c r="C43" i="24" s="1"/>
  <c r="T43" i="24" s="1"/>
  <c r="AO40" i="24"/>
  <c r="AP40" i="24"/>
  <c r="I79" i="20"/>
  <c r="I27" i="8"/>
  <c r="N66" i="10"/>
  <c r="AG66" i="10"/>
  <c r="AS66" i="10" s="1"/>
  <c r="BC66" i="10" s="1"/>
  <c r="AN40" i="20"/>
  <c r="AI40" i="20"/>
  <c r="AZ40" i="20"/>
  <c r="BK40" i="20"/>
  <c r="BA40" i="20"/>
  <c r="AA40" i="20"/>
  <c r="AB40" i="20" s="1"/>
  <c r="AC40" i="20" s="1"/>
  <c r="AD40" i="20"/>
  <c r="AL40" i="20"/>
  <c r="AH40" i="20"/>
  <c r="AX40" i="20"/>
  <c r="AT40" i="20"/>
  <c r="A29" i="14"/>
  <c r="N65" i="10"/>
  <c r="R65" i="10"/>
  <c r="AS66" i="12"/>
  <c r="N66" i="12"/>
  <c r="AG66" i="12"/>
  <c r="R66" i="12"/>
  <c r="AS65" i="12"/>
  <c r="AG65" i="12"/>
  <c r="R65" i="12"/>
  <c r="N65" i="12"/>
  <c r="N66" i="9"/>
  <c r="R66" i="9"/>
  <c r="AF66" i="9"/>
  <c r="R66" i="10"/>
  <c r="AG65" i="10"/>
  <c r="AS65" i="10" s="1"/>
  <c r="BC65" i="10" s="1"/>
  <c r="B1" i="14"/>
  <c r="C1" i="14"/>
  <c r="D1" i="14"/>
  <c r="AH41" i="22" l="1"/>
  <c r="AX41" i="22"/>
  <c r="AQ40" i="22"/>
  <c r="AP40" i="21"/>
  <c r="AP41" i="29"/>
  <c r="AA42" i="29"/>
  <c r="AB42" i="29" s="1"/>
  <c r="AC42" i="29" s="1"/>
  <c r="AD42" i="29"/>
  <c r="AK42" i="29"/>
  <c r="AM42" i="29"/>
  <c r="AH42" i="29"/>
  <c r="H46" i="29"/>
  <c r="Y46" i="29" s="1"/>
  <c r="C46" i="29"/>
  <c r="T46" i="29" s="1"/>
  <c r="AG42" i="29"/>
  <c r="F46" i="29"/>
  <c r="W46" i="29" s="1"/>
  <c r="I43" i="29"/>
  <c r="H49" i="28"/>
  <c r="I49" i="28" s="1"/>
  <c r="U49" i="28" s="1"/>
  <c r="X47" i="28"/>
  <c r="W47" i="28"/>
  <c r="Y47" i="28" s="1"/>
  <c r="I48" i="28"/>
  <c r="V48" i="28" s="1"/>
  <c r="Y45" i="28"/>
  <c r="G50" i="28"/>
  <c r="B50" i="28"/>
  <c r="X46" i="28"/>
  <c r="W46" i="28"/>
  <c r="C50" i="28"/>
  <c r="I41" i="26"/>
  <c r="W42" i="25"/>
  <c r="X42" i="25"/>
  <c r="I43" i="25"/>
  <c r="AD43" i="25" s="1"/>
  <c r="AH41" i="24"/>
  <c r="AU43" i="24"/>
  <c r="C44" i="24" s="1"/>
  <c r="T44" i="24" s="1"/>
  <c r="AQ40" i="23"/>
  <c r="B41" i="23"/>
  <c r="BL40" i="23"/>
  <c r="AA41" i="22"/>
  <c r="AB41" i="22" s="1"/>
  <c r="AC41" i="22" s="1"/>
  <c r="BK41" i="22"/>
  <c r="BA41" i="22"/>
  <c r="AD41" i="22"/>
  <c r="AN41" i="22"/>
  <c r="AL41" i="22"/>
  <c r="AU41" i="22"/>
  <c r="AI41" i="22"/>
  <c r="AZ41" i="22"/>
  <c r="C44" i="21"/>
  <c r="T44" i="21" s="1"/>
  <c r="AQ40" i="24"/>
  <c r="S42" i="21"/>
  <c r="I42" i="21"/>
  <c r="AX43" i="24"/>
  <c r="AT41" i="22"/>
  <c r="AZ43" i="24"/>
  <c r="H44" i="24" s="1"/>
  <c r="Y44" i="24" s="1"/>
  <c r="S42" i="24"/>
  <c r="I42" i="24"/>
  <c r="H44" i="21"/>
  <c r="Y44" i="21" s="1"/>
  <c r="AA41" i="21"/>
  <c r="AB41" i="21" s="1"/>
  <c r="AC41" i="21" s="1"/>
  <c r="AD41" i="21"/>
  <c r="AM41" i="21"/>
  <c r="AH41" i="21"/>
  <c r="AK41" i="21"/>
  <c r="BV41" i="24"/>
  <c r="AD41" i="24"/>
  <c r="AA41" i="24"/>
  <c r="AB41" i="24" s="1"/>
  <c r="AC41" i="24" s="1"/>
  <c r="BA41" i="24"/>
  <c r="BB41" i="24"/>
  <c r="BU41" i="24"/>
  <c r="AI41" i="24"/>
  <c r="BS41" i="24"/>
  <c r="AL41" i="24"/>
  <c r="AN41" i="24"/>
  <c r="BP41" i="24"/>
  <c r="BJ40" i="20"/>
  <c r="H41" i="20" s="1"/>
  <c r="Y41" i="20" s="1"/>
  <c r="BH40" i="20"/>
  <c r="F41" i="20" s="1"/>
  <c r="W41" i="20" s="1"/>
  <c r="BE40" i="20"/>
  <c r="C41" i="20" s="1"/>
  <c r="T41" i="20" s="1"/>
  <c r="BD40" i="20"/>
  <c r="AP40" i="20"/>
  <c r="AO40" i="20"/>
  <c r="A29" i="8"/>
  <c r="A30" i="8"/>
  <c r="A28" i="8"/>
  <c r="B4" i="9"/>
  <c r="B40" i="9" s="1"/>
  <c r="C4" i="9"/>
  <c r="C40" i="9" s="1"/>
  <c r="F4" i="9"/>
  <c r="F40" i="9" s="1"/>
  <c r="H4" i="9"/>
  <c r="H40" i="9" s="1"/>
  <c r="I39" i="9"/>
  <c r="Z39" i="9" s="1"/>
  <c r="AN39" i="9" s="1"/>
  <c r="B5" i="9"/>
  <c r="C5" i="9"/>
  <c r="F5" i="9"/>
  <c r="H5" i="9"/>
  <c r="B6" i="9"/>
  <c r="C6" i="9"/>
  <c r="F6" i="9"/>
  <c r="H6" i="9"/>
  <c r="B7" i="9"/>
  <c r="C7" i="9"/>
  <c r="F7" i="9"/>
  <c r="H7" i="9"/>
  <c r="B8" i="9"/>
  <c r="C8" i="9"/>
  <c r="F8" i="9"/>
  <c r="H8" i="9"/>
  <c r="B9" i="9"/>
  <c r="C9" i="9"/>
  <c r="F9" i="9"/>
  <c r="H9" i="9"/>
  <c r="B10" i="9"/>
  <c r="C10" i="9"/>
  <c r="F10" i="9"/>
  <c r="H10" i="9"/>
  <c r="B11" i="9"/>
  <c r="C11" i="9"/>
  <c r="F11" i="9"/>
  <c r="H11" i="9"/>
  <c r="B12" i="9"/>
  <c r="C12" i="9"/>
  <c r="F12" i="9"/>
  <c r="H12" i="9"/>
  <c r="B13" i="9"/>
  <c r="C13" i="9"/>
  <c r="G13" i="9"/>
  <c r="H13" i="9"/>
  <c r="B14" i="9"/>
  <c r="C14" i="9"/>
  <c r="G14" i="9"/>
  <c r="H14" i="9"/>
  <c r="B15" i="9"/>
  <c r="D15" i="9"/>
  <c r="E15" i="9"/>
  <c r="G15" i="9"/>
  <c r="H15" i="9"/>
  <c r="B16" i="9"/>
  <c r="D16" i="9"/>
  <c r="E16" i="9"/>
  <c r="G16" i="9"/>
  <c r="H16" i="9"/>
  <c r="B17" i="9"/>
  <c r="D17" i="9"/>
  <c r="E17" i="9"/>
  <c r="G17" i="9"/>
  <c r="H17" i="9"/>
  <c r="B18" i="9"/>
  <c r="D18" i="9"/>
  <c r="E18" i="9"/>
  <c r="G18" i="9"/>
  <c r="H18" i="9"/>
  <c r="B19" i="9"/>
  <c r="D19" i="9"/>
  <c r="E19" i="9"/>
  <c r="G19" i="9"/>
  <c r="H19" i="9"/>
  <c r="B20" i="9"/>
  <c r="D20" i="9"/>
  <c r="E20" i="9"/>
  <c r="G20" i="9"/>
  <c r="H20" i="9"/>
  <c r="B21" i="9"/>
  <c r="D21" i="9"/>
  <c r="E21" i="9"/>
  <c r="G21" i="9"/>
  <c r="H21" i="9"/>
  <c r="B22" i="9"/>
  <c r="D22" i="9"/>
  <c r="E22" i="9"/>
  <c r="G22" i="9"/>
  <c r="H22" i="9"/>
  <c r="B23" i="9"/>
  <c r="D23" i="9"/>
  <c r="E23" i="9"/>
  <c r="G23" i="9"/>
  <c r="H23" i="9"/>
  <c r="B24" i="9"/>
  <c r="D24" i="9"/>
  <c r="E24" i="9"/>
  <c r="G24" i="9"/>
  <c r="H24" i="9"/>
  <c r="B25" i="9"/>
  <c r="D25" i="9"/>
  <c r="E25" i="9"/>
  <c r="G25" i="9"/>
  <c r="H25" i="9"/>
  <c r="B26" i="9"/>
  <c r="D26" i="9"/>
  <c r="E26" i="9"/>
  <c r="G26" i="9"/>
  <c r="H26" i="9"/>
  <c r="B27" i="9"/>
  <c r="D27" i="9"/>
  <c r="E27" i="9"/>
  <c r="G27" i="9"/>
  <c r="H27" i="9"/>
  <c r="B28" i="9"/>
  <c r="D28" i="9"/>
  <c r="E28" i="9"/>
  <c r="G28" i="9"/>
  <c r="H28" i="9"/>
  <c r="B29" i="9"/>
  <c r="D29" i="9"/>
  <c r="E29" i="9"/>
  <c r="G29" i="9"/>
  <c r="H29" i="9"/>
  <c r="A5" i="9"/>
  <c r="A41" i="9" s="1"/>
  <c r="A6" i="9"/>
  <c r="A42" i="9" s="1"/>
  <c r="A7" i="9"/>
  <c r="A43" i="9" s="1"/>
  <c r="R43" i="9" s="1"/>
  <c r="A8" i="9"/>
  <c r="A44" i="9" s="1"/>
  <c r="A9" i="9"/>
  <c r="A45" i="9" s="1"/>
  <c r="N45" i="9" s="1"/>
  <c r="A10" i="9"/>
  <c r="A46" i="9" s="1"/>
  <c r="A11" i="9"/>
  <c r="A47" i="9" s="1"/>
  <c r="R47" i="9" s="1"/>
  <c r="A12" i="9"/>
  <c r="A48" i="9" s="1"/>
  <c r="R48" i="9" s="1"/>
  <c r="A13" i="9"/>
  <c r="A49" i="9" s="1"/>
  <c r="A14" i="9"/>
  <c r="A50" i="9" s="1"/>
  <c r="A15" i="9"/>
  <c r="A51" i="9" s="1"/>
  <c r="AF51" i="9" s="1"/>
  <c r="A16" i="9"/>
  <c r="A52" i="9" s="1"/>
  <c r="N52" i="9" s="1"/>
  <c r="A17" i="9"/>
  <c r="A53" i="9" s="1"/>
  <c r="A18" i="9"/>
  <c r="A54" i="9" s="1"/>
  <c r="A19" i="9"/>
  <c r="A55" i="9" s="1"/>
  <c r="AF55" i="9" s="1"/>
  <c r="A20" i="9"/>
  <c r="A56" i="9" s="1"/>
  <c r="N56" i="9" s="1"/>
  <c r="A21" i="9"/>
  <c r="A57" i="9" s="1"/>
  <c r="AF57" i="9" s="1"/>
  <c r="A22" i="9"/>
  <c r="A58" i="9" s="1"/>
  <c r="A23" i="9"/>
  <c r="A59" i="9" s="1"/>
  <c r="R59" i="9" s="1"/>
  <c r="A24" i="9"/>
  <c r="A60" i="9" s="1"/>
  <c r="N60" i="9" s="1"/>
  <c r="A25" i="9"/>
  <c r="A61" i="9" s="1"/>
  <c r="A26" i="9"/>
  <c r="A62" i="9" s="1"/>
  <c r="R62" i="9" s="1"/>
  <c r="A27" i="9"/>
  <c r="A63" i="9" s="1"/>
  <c r="A28" i="9"/>
  <c r="A64" i="9" s="1"/>
  <c r="A29" i="9"/>
  <c r="A65" i="9" s="1"/>
  <c r="A4" i="9"/>
  <c r="A40" i="9" s="1"/>
  <c r="C2" i="9"/>
  <c r="C37" i="9" s="1"/>
  <c r="D2" i="9"/>
  <c r="D37" i="9" s="1"/>
  <c r="E2" i="9"/>
  <c r="E37" i="9" s="1"/>
  <c r="F2" i="9"/>
  <c r="F37" i="9" s="1"/>
  <c r="G2" i="9"/>
  <c r="G37" i="9" s="1"/>
  <c r="H2" i="9"/>
  <c r="H37" i="9" s="1"/>
  <c r="AM37" i="9" s="1"/>
  <c r="C3" i="9"/>
  <c r="C38" i="9" s="1"/>
  <c r="D3" i="9"/>
  <c r="D38" i="9" s="1"/>
  <c r="E3" i="9"/>
  <c r="E38" i="9" s="1"/>
  <c r="V38" i="9" s="1"/>
  <c r="F3" i="9"/>
  <c r="F38" i="9" s="1"/>
  <c r="AK38" i="9" s="1"/>
  <c r="G3" i="9"/>
  <c r="G38" i="9" s="1"/>
  <c r="H3" i="9"/>
  <c r="H38" i="9" s="1"/>
  <c r="B2" i="9"/>
  <c r="B37" i="9" s="1"/>
  <c r="AG37" i="9" s="1"/>
  <c r="B3" i="9"/>
  <c r="B38" i="9" s="1"/>
  <c r="AG38" i="9" s="1"/>
  <c r="A3" i="9"/>
  <c r="Y39" i="9"/>
  <c r="W39" i="9"/>
  <c r="T39" i="9"/>
  <c r="S39" i="9"/>
  <c r="U39" i="9"/>
  <c r="V39" i="9"/>
  <c r="X39" i="9"/>
  <c r="R39" i="9"/>
  <c r="R38" i="9"/>
  <c r="Z38" i="9"/>
  <c r="O3" i="12"/>
  <c r="N3" i="12"/>
  <c r="R39" i="12"/>
  <c r="AS39" i="12"/>
  <c r="B4" i="12"/>
  <c r="B40" i="12" s="1"/>
  <c r="C4" i="12"/>
  <c r="C40" i="12" s="1"/>
  <c r="F4" i="12"/>
  <c r="F40" i="12" s="1"/>
  <c r="H4" i="12"/>
  <c r="H40" i="12" s="1"/>
  <c r="I39" i="12"/>
  <c r="Z39" i="12" s="1"/>
  <c r="AO39" i="12" s="1"/>
  <c r="BV39" i="12" s="1"/>
  <c r="BA39" i="12" s="1"/>
  <c r="B5" i="12"/>
  <c r="O5" i="12"/>
  <c r="C5" i="12"/>
  <c r="F5" i="12"/>
  <c r="H5" i="12"/>
  <c r="B6" i="12"/>
  <c r="O6" i="12"/>
  <c r="C6" i="12"/>
  <c r="F6" i="12"/>
  <c r="H6" i="12"/>
  <c r="B7" i="12"/>
  <c r="O7" i="12"/>
  <c r="C7" i="12"/>
  <c r="F7" i="12"/>
  <c r="H7" i="12"/>
  <c r="B8" i="12"/>
  <c r="O8" i="12"/>
  <c r="C8" i="12"/>
  <c r="F8" i="12"/>
  <c r="H8" i="12"/>
  <c r="B9" i="12"/>
  <c r="O9" i="12"/>
  <c r="C9" i="12"/>
  <c r="F9" i="12"/>
  <c r="H9" i="12"/>
  <c r="B10" i="12"/>
  <c r="O10" i="12"/>
  <c r="C10" i="12"/>
  <c r="F10" i="12"/>
  <c r="H10" i="12"/>
  <c r="B11" i="12"/>
  <c r="O11" i="12"/>
  <c r="C11" i="12"/>
  <c r="F11" i="12"/>
  <c r="H11" i="12"/>
  <c r="B12" i="12"/>
  <c r="O12" i="12"/>
  <c r="C12" i="12"/>
  <c r="F12" i="12"/>
  <c r="H12" i="12"/>
  <c r="B13" i="12"/>
  <c r="O13" i="12"/>
  <c r="C13" i="12"/>
  <c r="G13" i="12"/>
  <c r="H13" i="12"/>
  <c r="B14" i="12"/>
  <c r="O14" i="12"/>
  <c r="C14" i="12"/>
  <c r="G14" i="12"/>
  <c r="H14" i="12"/>
  <c r="B15" i="12"/>
  <c r="O15" i="12"/>
  <c r="D15" i="12"/>
  <c r="E15" i="12"/>
  <c r="G15" i="12"/>
  <c r="H15" i="12"/>
  <c r="B16" i="12"/>
  <c r="O16" i="12"/>
  <c r="D16" i="12"/>
  <c r="E16" i="12"/>
  <c r="G16" i="12"/>
  <c r="H16" i="12"/>
  <c r="B17" i="12"/>
  <c r="O17" i="12"/>
  <c r="D17" i="12"/>
  <c r="E17" i="12"/>
  <c r="G17" i="12"/>
  <c r="H17" i="12"/>
  <c r="B18" i="12"/>
  <c r="O18" i="12"/>
  <c r="D18" i="12"/>
  <c r="E18" i="12"/>
  <c r="G18" i="12"/>
  <c r="H18" i="12"/>
  <c r="H19" i="12"/>
  <c r="O19" i="12"/>
  <c r="S39" i="12"/>
  <c r="B20" i="12"/>
  <c r="O20" i="12"/>
  <c r="BQ39" i="12"/>
  <c r="AV39" i="12" s="1"/>
  <c r="D20" i="12"/>
  <c r="BR39" i="12"/>
  <c r="AW39" i="12" s="1"/>
  <c r="E20" i="12"/>
  <c r="BT39" i="12"/>
  <c r="AY39" i="12" s="1"/>
  <c r="G20" i="12"/>
  <c r="Y39" i="12"/>
  <c r="H20" i="12"/>
  <c r="B21" i="12"/>
  <c r="O21" i="12"/>
  <c r="D21" i="12"/>
  <c r="E21" i="12"/>
  <c r="G21" i="12"/>
  <c r="H21" i="12"/>
  <c r="B22" i="12"/>
  <c r="O22" i="12"/>
  <c r="D22" i="12"/>
  <c r="E22" i="12"/>
  <c r="G22" i="12"/>
  <c r="H22" i="12"/>
  <c r="B23" i="12"/>
  <c r="O23" i="12"/>
  <c r="D23" i="12"/>
  <c r="E23" i="12"/>
  <c r="G23" i="12"/>
  <c r="H23" i="12"/>
  <c r="B24" i="12"/>
  <c r="O24" i="12"/>
  <c r="D24" i="12"/>
  <c r="E24" i="12"/>
  <c r="G24" i="12"/>
  <c r="H24" i="12"/>
  <c r="H25" i="12"/>
  <c r="O25" i="12"/>
  <c r="B26" i="12"/>
  <c r="O26" i="12"/>
  <c r="D26" i="12"/>
  <c r="E26" i="12"/>
  <c r="G26" i="12"/>
  <c r="H26" i="12"/>
  <c r="B27" i="12"/>
  <c r="O27" i="12"/>
  <c r="D27" i="12"/>
  <c r="E27" i="12"/>
  <c r="G27" i="12"/>
  <c r="H27" i="12"/>
  <c r="B28" i="12"/>
  <c r="O28" i="12"/>
  <c r="D28" i="12"/>
  <c r="E28" i="12"/>
  <c r="G28" i="12"/>
  <c r="H28" i="12"/>
  <c r="BN39" i="12"/>
  <c r="X39" i="12"/>
  <c r="W39" i="12"/>
  <c r="V39" i="12"/>
  <c r="U39" i="12"/>
  <c r="T39" i="12"/>
  <c r="BV38" i="12"/>
  <c r="BA38" i="12"/>
  <c r="BN38" i="12"/>
  <c r="Z38" i="12"/>
  <c r="R38" i="12"/>
  <c r="A28" i="12"/>
  <c r="A64" i="12" s="1"/>
  <c r="A27" i="12"/>
  <c r="A63" i="12" s="1"/>
  <c r="N28" i="12"/>
  <c r="A26" i="12"/>
  <c r="A62" i="12" s="1"/>
  <c r="N27" i="12"/>
  <c r="G25" i="12"/>
  <c r="G61" i="12" s="1"/>
  <c r="E25" i="12"/>
  <c r="E61" i="12" s="1"/>
  <c r="D25" i="12"/>
  <c r="D61" i="12" s="1"/>
  <c r="B25" i="12"/>
  <c r="B61" i="12" s="1"/>
  <c r="A25" i="12"/>
  <c r="A61" i="12" s="1"/>
  <c r="AS61" i="12" s="1"/>
  <c r="N26" i="12"/>
  <c r="A24" i="12"/>
  <c r="A60" i="12" s="1"/>
  <c r="AS60" i="12" s="1"/>
  <c r="N25" i="12"/>
  <c r="A23" i="12"/>
  <c r="A59" i="12" s="1"/>
  <c r="N24" i="12"/>
  <c r="A22" i="12"/>
  <c r="A58" i="12" s="1"/>
  <c r="AS58" i="12" s="1"/>
  <c r="N23" i="12"/>
  <c r="A21" i="12"/>
  <c r="A57" i="12" s="1"/>
  <c r="AS57" i="12" s="1"/>
  <c r="N22" i="12"/>
  <c r="A20" i="12"/>
  <c r="A56" i="12" s="1"/>
  <c r="AS56" i="12" s="1"/>
  <c r="N21" i="12"/>
  <c r="G19" i="12"/>
  <c r="G55" i="12" s="1"/>
  <c r="E19" i="12"/>
  <c r="E55" i="12" s="1"/>
  <c r="D19" i="12"/>
  <c r="D55" i="12" s="1"/>
  <c r="B19" i="12"/>
  <c r="B55" i="12" s="1"/>
  <c r="A19" i="12"/>
  <c r="A55" i="12" s="1"/>
  <c r="AS55" i="12" s="1"/>
  <c r="N20" i="12"/>
  <c r="A18" i="12"/>
  <c r="A54" i="12" s="1"/>
  <c r="N19" i="12"/>
  <c r="A17" i="12"/>
  <c r="A53" i="12" s="1"/>
  <c r="AS53" i="12" s="1"/>
  <c r="N18" i="12"/>
  <c r="A16" i="12"/>
  <c r="A52" i="12" s="1"/>
  <c r="AS52" i="12" s="1"/>
  <c r="N17" i="12"/>
  <c r="A15" i="12"/>
  <c r="A51" i="12" s="1"/>
  <c r="AS51" i="12" s="1"/>
  <c r="N16" i="12"/>
  <c r="A14" i="12"/>
  <c r="A50" i="12" s="1"/>
  <c r="AS50" i="12" s="1"/>
  <c r="N15" i="12"/>
  <c r="A13" i="12"/>
  <c r="A49" i="12" s="1"/>
  <c r="AS49" i="12" s="1"/>
  <c r="N14" i="12"/>
  <c r="A12" i="12"/>
  <c r="A48" i="12" s="1"/>
  <c r="N13" i="12"/>
  <c r="A11" i="12"/>
  <c r="A47" i="12" s="1"/>
  <c r="AS47" i="12" s="1"/>
  <c r="N12" i="12"/>
  <c r="A10" i="12"/>
  <c r="A46" i="12" s="1"/>
  <c r="AS46" i="12" s="1"/>
  <c r="N11" i="12"/>
  <c r="A9" i="12"/>
  <c r="A45" i="12" s="1"/>
  <c r="AS45" i="12" s="1"/>
  <c r="N10" i="12"/>
  <c r="A8" i="12"/>
  <c r="A44" i="12" s="1"/>
  <c r="AS44" i="12" s="1"/>
  <c r="N9" i="12"/>
  <c r="A7" i="12"/>
  <c r="A43" i="12" s="1"/>
  <c r="AS43" i="12" s="1"/>
  <c r="N8" i="12"/>
  <c r="A6" i="12"/>
  <c r="A42" i="12" s="1"/>
  <c r="AS42" i="12" s="1"/>
  <c r="N7" i="12"/>
  <c r="A5" i="12"/>
  <c r="A41" i="12" s="1"/>
  <c r="AS41" i="12" s="1"/>
  <c r="N6" i="12"/>
  <c r="A4" i="12"/>
  <c r="A40" i="12" s="1"/>
  <c r="AS40" i="12" s="1"/>
  <c r="N5" i="12"/>
  <c r="H3" i="12"/>
  <c r="H38" i="12" s="1"/>
  <c r="G3" i="12"/>
  <c r="G38" i="12" s="1"/>
  <c r="F3" i="12"/>
  <c r="F38" i="12" s="1"/>
  <c r="E3" i="12"/>
  <c r="E38" i="12" s="1"/>
  <c r="D3" i="12"/>
  <c r="D38" i="12" s="1"/>
  <c r="AJ38" i="12" s="1"/>
  <c r="BQ38" i="12" s="1"/>
  <c r="AV38" i="12" s="1"/>
  <c r="C3" i="12"/>
  <c r="C38" i="12" s="1"/>
  <c r="B3" i="12"/>
  <c r="B38" i="12" s="1"/>
  <c r="A3" i="12"/>
  <c r="O4" i="12"/>
  <c r="N4" i="12"/>
  <c r="H2" i="12"/>
  <c r="H37" i="12" s="1"/>
  <c r="G2" i="12"/>
  <c r="G37" i="12" s="1"/>
  <c r="AM37" i="12" s="1"/>
  <c r="BT37" i="12" s="1"/>
  <c r="AY37" i="12" s="1"/>
  <c r="F2" i="12"/>
  <c r="F37" i="12" s="1"/>
  <c r="E2" i="12"/>
  <c r="E37" i="12" s="1"/>
  <c r="D2" i="12"/>
  <c r="D37" i="12" s="1"/>
  <c r="C2" i="12"/>
  <c r="C37" i="12" s="1"/>
  <c r="AI37" i="12" s="1"/>
  <c r="BP37" i="12" s="1"/>
  <c r="AU37" i="12" s="1"/>
  <c r="B2" i="12"/>
  <c r="B37" i="12" s="1"/>
  <c r="B40" i="10"/>
  <c r="C40" i="10"/>
  <c r="F40" i="10"/>
  <c r="H40" i="10"/>
  <c r="O5" i="10"/>
  <c r="O6" i="10"/>
  <c r="O7" i="10"/>
  <c r="O8" i="10"/>
  <c r="S39" i="10"/>
  <c r="I39" i="10"/>
  <c r="Z39" i="10"/>
  <c r="AO39" i="10" s="1"/>
  <c r="BA39" i="10" s="1"/>
  <c r="BK39" i="10" s="1"/>
  <c r="O9" i="10"/>
  <c r="O10" i="10"/>
  <c r="O11" i="10"/>
  <c r="O12" i="10"/>
  <c r="T39" i="10"/>
  <c r="W39" i="10"/>
  <c r="Y39" i="10"/>
  <c r="O13" i="10"/>
  <c r="O14" i="10"/>
  <c r="O15" i="10"/>
  <c r="O16" i="10"/>
  <c r="O17" i="10"/>
  <c r="O18" i="10"/>
  <c r="AY39" i="10"/>
  <c r="BI39" i="10" s="1"/>
  <c r="O19" i="10"/>
  <c r="AV39" i="10"/>
  <c r="BF39" i="10" s="1"/>
  <c r="AW39" i="10"/>
  <c r="BG39" i="10" s="1"/>
  <c r="O20" i="10"/>
  <c r="O21" i="10"/>
  <c r="O22" i="10"/>
  <c r="O23" i="10"/>
  <c r="O24" i="10"/>
  <c r="O25" i="10"/>
  <c r="O26" i="10"/>
  <c r="O27" i="10"/>
  <c r="O28" i="10"/>
  <c r="O3" i="10"/>
  <c r="N3" i="10"/>
  <c r="A41" i="10"/>
  <c r="A42" i="10"/>
  <c r="AG42" i="10" s="1"/>
  <c r="AS42" i="10" s="1"/>
  <c r="BC42" i="10" s="1"/>
  <c r="A43" i="10"/>
  <c r="A44" i="10"/>
  <c r="N44" i="10" s="1"/>
  <c r="A45" i="10"/>
  <c r="A46" i="10"/>
  <c r="AG46" i="10" s="1"/>
  <c r="AS46" i="10" s="1"/>
  <c r="BC46" i="10" s="1"/>
  <c r="A47" i="10"/>
  <c r="A48" i="10"/>
  <c r="N48" i="10" s="1"/>
  <c r="A49" i="10"/>
  <c r="R49" i="10" s="1"/>
  <c r="A50" i="10"/>
  <c r="A51" i="10"/>
  <c r="R51" i="10" s="1"/>
  <c r="A52" i="10"/>
  <c r="A53" i="10"/>
  <c r="A54" i="10"/>
  <c r="A55" i="10"/>
  <c r="A56" i="10"/>
  <c r="A57" i="10"/>
  <c r="A58" i="10"/>
  <c r="A59" i="10"/>
  <c r="A60" i="10"/>
  <c r="R60" i="10" s="1"/>
  <c r="A61" i="10"/>
  <c r="A62" i="10"/>
  <c r="A63" i="10"/>
  <c r="A64" i="10"/>
  <c r="A40" i="10"/>
  <c r="H3" i="10"/>
  <c r="H38" i="10" s="1"/>
  <c r="AN38" i="10" s="1"/>
  <c r="AZ38" i="10" s="1"/>
  <c r="BJ38" i="10" s="1"/>
  <c r="G3" i="10"/>
  <c r="G38" i="10" s="1"/>
  <c r="AM38" i="10" s="1"/>
  <c r="AY38" i="10" s="1"/>
  <c r="BI38" i="10" s="1"/>
  <c r="F3" i="10"/>
  <c r="F38" i="10" s="1"/>
  <c r="AL38" i="10" s="1"/>
  <c r="AX38" i="10" s="1"/>
  <c r="BH38" i="10" s="1"/>
  <c r="E3" i="10"/>
  <c r="E38" i="10" s="1"/>
  <c r="D3" i="10"/>
  <c r="D38" i="10" s="1"/>
  <c r="AJ38" i="10" s="1"/>
  <c r="AV38" i="10" s="1"/>
  <c r="BF38" i="10" s="1"/>
  <c r="C3" i="10"/>
  <c r="C38" i="10" s="1"/>
  <c r="B3" i="10"/>
  <c r="B38" i="10" s="1"/>
  <c r="H2" i="10"/>
  <c r="H37" i="10" s="1"/>
  <c r="AN37" i="10" s="1"/>
  <c r="AZ37" i="10" s="1"/>
  <c r="BJ37" i="10" s="1"/>
  <c r="G2" i="10"/>
  <c r="G37" i="10" s="1"/>
  <c r="AM37" i="10" s="1"/>
  <c r="AY37" i="10" s="1"/>
  <c r="BI37" i="10" s="1"/>
  <c r="F2" i="10"/>
  <c r="F37" i="10" s="1"/>
  <c r="AL37" i="10" s="1"/>
  <c r="AX37" i="10" s="1"/>
  <c r="BH37" i="10" s="1"/>
  <c r="E2" i="10"/>
  <c r="E37" i="10" s="1"/>
  <c r="D2" i="10"/>
  <c r="D37" i="10" s="1"/>
  <c r="AJ37" i="10" s="1"/>
  <c r="AV37" i="10" s="1"/>
  <c r="BF37" i="10" s="1"/>
  <c r="C2" i="10"/>
  <c r="C37" i="10" s="1"/>
  <c r="B2" i="10"/>
  <c r="B37" i="10" s="1"/>
  <c r="A3" i="10"/>
  <c r="N5" i="10"/>
  <c r="N6" i="10"/>
  <c r="N7" i="10"/>
  <c r="N8" i="10"/>
  <c r="N9" i="10"/>
  <c r="N10" i="10"/>
  <c r="N11" i="10"/>
  <c r="N12" i="10"/>
  <c r="N13" i="10"/>
  <c r="N14" i="10"/>
  <c r="N15" i="10"/>
  <c r="N16" i="10"/>
  <c r="N17" i="10"/>
  <c r="N18" i="10"/>
  <c r="N19" i="10"/>
  <c r="N20" i="10"/>
  <c r="N21" i="10"/>
  <c r="N22" i="10"/>
  <c r="N23" i="10"/>
  <c r="N24" i="10"/>
  <c r="N25" i="10"/>
  <c r="N26" i="10"/>
  <c r="N27" i="10"/>
  <c r="N28" i="10"/>
  <c r="O4" i="10"/>
  <c r="N4" i="10"/>
  <c r="AS39" i="10"/>
  <c r="BC39" i="10" s="1"/>
  <c r="BA38" i="10"/>
  <c r="BK38" i="10" s="1"/>
  <c r="AS38" i="10"/>
  <c r="X39" i="10"/>
  <c r="V39" i="10"/>
  <c r="U39" i="10"/>
  <c r="R39" i="10"/>
  <c r="Z38" i="10"/>
  <c r="R38" i="10"/>
  <c r="B40" i="1"/>
  <c r="B41" i="1" s="1"/>
  <c r="C40" i="1"/>
  <c r="F40" i="1"/>
  <c r="F41" i="1" s="1"/>
  <c r="H40" i="1"/>
  <c r="I39" i="1"/>
  <c r="W39" i="1" s="1"/>
  <c r="A64" i="1"/>
  <c r="O64" i="1" s="1"/>
  <c r="A59" i="1"/>
  <c r="O59" i="1" s="1"/>
  <c r="A60" i="1"/>
  <c r="O60" i="1" s="1"/>
  <c r="A61" i="1"/>
  <c r="O61" i="1" s="1"/>
  <c r="A62" i="1"/>
  <c r="O62" i="1" s="1"/>
  <c r="A63" i="1"/>
  <c r="O63" i="1" s="1"/>
  <c r="A41" i="1"/>
  <c r="O41" i="1" s="1"/>
  <c r="O42" i="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58" i="1"/>
  <c r="O58" i="1" s="1"/>
  <c r="A40" i="1"/>
  <c r="O40" i="1" s="1"/>
  <c r="H38" i="1"/>
  <c r="V38" i="1" s="1"/>
  <c r="G38" i="1"/>
  <c r="U38" i="1" s="1"/>
  <c r="F38" i="1"/>
  <c r="T38" i="1" s="1"/>
  <c r="E38" i="1"/>
  <c r="S38" i="1" s="1"/>
  <c r="D38" i="1"/>
  <c r="R38" i="1" s="1"/>
  <c r="C38" i="1"/>
  <c r="Q38" i="1" s="1"/>
  <c r="H37" i="1"/>
  <c r="V37" i="1" s="1"/>
  <c r="G37" i="1"/>
  <c r="U37" i="1" s="1"/>
  <c r="F37" i="1"/>
  <c r="T37" i="1" s="1"/>
  <c r="E37" i="1"/>
  <c r="S37" i="1" s="1"/>
  <c r="D37" i="1"/>
  <c r="R37" i="1" s="1"/>
  <c r="C37" i="1"/>
  <c r="Q37" i="1" s="1"/>
  <c r="B38" i="1"/>
  <c r="P38" i="1" s="1"/>
  <c r="B37" i="1"/>
  <c r="P37" i="1" s="1"/>
  <c r="A22" i="3"/>
  <c r="B25" i="7"/>
  <c r="D25" i="7"/>
  <c r="E25" i="7"/>
  <c r="G25" i="7"/>
  <c r="B19" i="7"/>
  <c r="D19" i="7"/>
  <c r="E19" i="7"/>
  <c r="G19" i="7"/>
  <c r="B39" i="7"/>
  <c r="AB39" i="7" s="1"/>
  <c r="B4" i="7"/>
  <c r="B5" i="7"/>
  <c r="B6" i="7"/>
  <c r="B7" i="7"/>
  <c r="B8" i="7"/>
  <c r="B9" i="7"/>
  <c r="B10" i="7"/>
  <c r="B11" i="7"/>
  <c r="B12" i="7"/>
  <c r="B13" i="7"/>
  <c r="B14" i="7"/>
  <c r="B15" i="7"/>
  <c r="B16" i="7"/>
  <c r="B17" i="7"/>
  <c r="B18" i="7"/>
  <c r="C39" i="7"/>
  <c r="AC39" i="7" s="1"/>
  <c r="C4" i="7"/>
  <c r="C5" i="7"/>
  <c r="C6" i="7"/>
  <c r="C7" i="7"/>
  <c r="C8" i="7"/>
  <c r="C9" i="7"/>
  <c r="C10" i="7"/>
  <c r="C11" i="7"/>
  <c r="C12" i="7"/>
  <c r="C13" i="7"/>
  <c r="D15" i="7"/>
  <c r="D16" i="7"/>
  <c r="D17" i="7"/>
  <c r="D18" i="7"/>
  <c r="E15" i="7"/>
  <c r="E16" i="7"/>
  <c r="E17" i="7"/>
  <c r="E18" i="7"/>
  <c r="F39" i="7"/>
  <c r="AF39" i="7" s="1"/>
  <c r="F4" i="7"/>
  <c r="F5" i="7"/>
  <c r="F6" i="7"/>
  <c r="F7" i="7"/>
  <c r="F8" i="7"/>
  <c r="F9" i="7"/>
  <c r="F10" i="7"/>
  <c r="F11" i="7"/>
  <c r="G13" i="7"/>
  <c r="G14" i="7"/>
  <c r="G15" i="7"/>
  <c r="G16" i="7"/>
  <c r="G17" i="7"/>
  <c r="G18" i="7"/>
  <c r="H39" i="7"/>
  <c r="AH39" i="7" s="1"/>
  <c r="H4" i="7"/>
  <c r="H5" i="7"/>
  <c r="H6" i="7"/>
  <c r="H7" i="7"/>
  <c r="H8" i="7"/>
  <c r="H9" i="7"/>
  <c r="H10" i="7"/>
  <c r="H11" i="7"/>
  <c r="H12" i="7"/>
  <c r="H13" i="7"/>
  <c r="H14" i="7"/>
  <c r="H15" i="7"/>
  <c r="H16" i="7"/>
  <c r="H17" i="7"/>
  <c r="H18" i="7"/>
  <c r="H19" i="7"/>
  <c r="B20" i="7"/>
  <c r="B21" i="7"/>
  <c r="B22" i="7"/>
  <c r="B23" i="7"/>
  <c r="B24" i="7"/>
  <c r="R39" i="7"/>
  <c r="D20" i="7"/>
  <c r="D21" i="7"/>
  <c r="D22" i="7"/>
  <c r="D23" i="7"/>
  <c r="D24" i="7"/>
  <c r="S39" i="7"/>
  <c r="E20" i="7"/>
  <c r="E21" i="7"/>
  <c r="E22" i="7"/>
  <c r="E23" i="7"/>
  <c r="E24" i="7"/>
  <c r="U39"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1" i="7"/>
  <c r="O41" i="7" s="1"/>
  <c r="AA41" i="7" s="1"/>
  <c r="A42" i="7"/>
  <c r="O42" i="7" s="1"/>
  <c r="AA42" i="7" s="1"/>
  <c r="A43" i="7"/>
  <c r="O43" i="7" s="1"/>
  <c r="AA43" i="7" s="1"/>
  <c r="A44" i="7"/>
  <c r="O44" i="7" s="1"/>
  <c r="AA44" i="7" s="1"/>
  <c r="A45" i="7"/>
  <c r="O45" i="7" s="1"/>
  <c r="AA45" i="7" s="1"/>
  <c r="A46" i="7"/>
  <c r="O46" i="7" s="1"/>
  <c r="AA46" i="7" s="1"/>
  <c r="A47" i="7"/>
  <c r="O47" i="7" s="1"/>
  <c r="AA47" i="7" s="1"/>
  <c r="A48" i="7"/>
  <c r="O48" i="7" s="1"/>
  <c r="AA48" i="7" s="1"/>
  <c r="A49" i="7"/>
  <c r="O49" i="7" s="1"/>
  <c r="AA49" i="7" s="1"/>
  <c r="A50" i="7"/>
  <c r="O50" i="7" s="1"/>
  <c r="AA50" i="7" s="1"/>
  <c r="A51" i="7"/>
  <c r="O51" i="7" s="1"/>
  <c r="AA51" i="7" s="1"/>
  <c r="A52" i="7"/>
  <c r="O52" i="7" s="1"/>
  <c r="AA52" i="7" s="1"/>
  <c r="A53" i="7"/>
  <c r="O53" i="7" s="1"/>
  <c r="AA53" i="7" s="1"/>
  <c r="A54" i="7"/>
  <c r="O54" i="7" s="1"/>
  <c r="AA54" i="7" s="1"/>
  <c r="A55" i="7"/>
  <c r="O55" i="7" s="1"/>
  <c r="AA55" i="7" s="1"/>
  <c r="A56" i="7"/>
  <c r="O56" i="7" s="1"/>
  <c r="AA56" i="7" s="1"/>
  <c r="A57" i="7"/>
  <c r="O57" i="7" s="1"/>
  <c r="AA57" i="7" s="1"/>
  <c r="A58" i="7"/>
  <c r="O58" i="7" s="1"/>
  <c r="AA58" i="7" s="1"/>
  <c r="A59" i="7"/>
  <c r="O59" i="7" s="1"/>
  <c r="AA59" i="7" s="1"/>
  <c r="A60" i="7"/>
  <c r="O60" i="7" s="1"/>
  <c r="AA60" i="7" s="1"/>
  <c r="A61" i="7"/>
  <c r="O61" i="7" s="1"/>
  <c r="AA61" i="7" s="1"/>
  <c r="A62" i="7"/>
  <c r="O62" i="7" s="1"/>
  <c r="AA62" i="7" s="1"/>
  <c r="A63" i="7"/>
  <c r="O63" i="7" s="1"/>
  <c r="AA63" i="7" s="1"/>
  <c r="A64" i="7"/>
  <c r="O64" i="7" s="1"/>
  <c r="AA64" i="7" s="1"/>
  <c r="A4" i="7"/>
  <c r="A40" i="7" s="1"/>
  <c r="O40" i="7" s="1"/>
  <c r="AA40" i="7" s="1"/>
  <c r="AA39" i="7"/>
  <c r="AA38" i="7"/>
  <c r="C2" i="7"/>
  <c r="C37" i="7" s="1"/>
  <c r="Q37" i="7" s="1"/>
  <c r="AC37" i="7" s="1"/>
  <c r="D2" i="7"/>
  <c r="D37" i="7" s="1"/>
  <c r="R37" i="7" s="1"/>
  <c r="AD37" i="7" s="1"/>
  <c r="E2" i="7"/>
  <c r="E37" i="7" s="1"/>
  <c r="S37" i="7" s="1"/>
  <c r="AE37" i="7" s="1"/>
  <c r="F2" i="7"/>
  <c r="F37" i="7" s="1"/>
  <c r="T37" i="7" s="1"/>
  <c r="AF37" i="7" s="1"/>
  <c r="G2" i="7"/>
  <c r="G37" i="7" s="1"/>
  <c r="U37" i="7" s="1"/>
  <c r="AG37" i="7" s="1"/>
  <c r="H2" i="7"/>
  <c r="H37" i="7" s="1"/>
  <c r="V37" i="7" s="1"/>
  <c r="AH37" i="7" s="1"/>
  <c r="C3" i="7"/>
  <c r="C38" i="7" s="1"/>
  <c r="Q38" i="7" s="1"/>
  <c r="AC38" i="7" s="1"/>
  <c r="D3" i="7"/>
  <c r="D38" i="7" s="1"/>
  <c r="R38" i="7" s="1"/>
  <c r="AD38" i="7" s="1"/>
  <c r="E3" i="7"/>
  <c r="E38" i="7" s="1"/>
  <c r="S38" i="7" s="1"/>
  <c r="AE38" i="7" s="1"/>
  <c r="F3" i="7"/>
  <c r="F38" i="7" s="1"/>
  <c r="T38" i="7" s="1"/>
  <c r="AF38" i="7" s="1"/>
  <c r="G3" i="7"/>
  <c r="G38" i="7" s="1"/>
  <c r="U38" i="7" s="1"/>
  <c r="AG38" i="7" s="1"/>
  <c r="H3" i="7"/>
  <c r="H38" i="7" s="1"/>
  <c r="V38" i="7" s="1"/>
  <c r="AH38" i="7" s="1"/>
  <c r="AI38" i="7"/>
  <c r="B3" i="7"/>
  <c r="B38" i="7" s="1"/>
  <c r="P38" i="7" s="1"/>
  <c r="AB38" i="7" s="1"/>
  <c r="B2" i="7"/>
  <c r="B37" i="7" s="1"/>
  <c r="P37" i="7" s="1"/>
  <c r="AB37" i="7" s="1"/>
  <c r="F12" i="7"/>
  <c r="C14" i="7"/>
  <c r="A3" i="7"/>
  <c r="B39" i="4"/>
  <c r="C39" i="4"/>
  <c r="F39" i="4"/>
  <c r="H39" i="4"/>
  <c r="D15" i="4"/>
  <c r="E15" i="4"/>
  <c r="U39" i="4"/>
  <c r="AH39" i="4" s="1"/>
  <c r="AR39" i="4" s="1"/>
  <c r="D16" i="4"/>
  <c r="E16" i="4"/>
  <c r="D17" i="4"/>
  <c r="E17" i="4"/>
  <c r="D18" i="4"/>
  <c r="E18" i="4"/>
  <c r="R39" i="4"/>
  <c r="AE39" i="4" s="1"/>
  <c r="AO39" i="4" s="1"/>
  <c r="D19" i="4"/>
  <c r="S39" i="4"/>
  <c r="AF39" i="4" s="1"/>
  <c r="AP39" i="4" s="1"/>
  <c r="E19" i="4"/>
  <c r="D20" i="4"/>
  <c r="E20" i="4"/>
  <c r="D21" i="4"/>
  <c r="E21" i="4"/>
  <c r="D22" i="4"/>
  <c r="E22" i="4"/>
  <c r="D23" i="4"/>
  <c r="E23" i="4"/>
  <c r="D24" i="4"/>
  <c r="E24" i="4"/>
  <c r="D25" i="4"/>
  <c r="E25" i="4"/>
  <c r="D26" i="4"/>
  <c r="E26" i="4"/>
  <c r="D27" i="4"/>
  <c r="E27" i="4"/>
  <c r="D28" i="4"/>
  <c r="E28" i="4"/>
  <c r="D29" i="4"/>
  <c r="E29" i="4"/>
  <c r="AB39" i="4"/>
  <c r="AL39" i="4" s="1"/>
  <c r="AB38" i="4"/>
  <c r="AJ38" i="4"/>
  <c r="AT38" i="4" s="1"/>
  <c r="A5" i="4"/>
  <c r="A41" i="4" s="1"/>
  <c r="A6" i="4"/>
  <c r="A42" i="4" s="1"/>
  <c r="A7" i="4"/>
  <c r="A43" i="4" s="1"/>
  <c r="A6" i="14" s="1"/>
  <c r="A8" i="4"/>
  <c r="A44" i="4" s="1"/>
  <c r="A7" i="14" s="1"/>
  <c r="A9" i="4"/>
  <c r="A45" i="4" s="1"/>
  <c r="A10" i="4"/>
  <c r="A46" i="4" s="1"/>
  <c r="A11" i="4"/>
  <c r="A47" i="4" s="1"/>
  <c r="A10" i="14" s="1"/>
  <c r="A12" i="4"/>
  <c r="A48" i="4" s="1"/>
  <c r="A11" i="14" s="1"/>
  <c r="A13" i="4"/>
  <c r="A49" i="4" s="1"/>
  <c r="A12" i="14" s="1"/>
  <c r="A14" i="4"/>
  <c r="A50" i="4" s="1"/>
  <c r="A13" i="14" s="1"/>
  <c r="A15" i="4"/>
  <c r="A51" i="4" s="1"/>
  <c r="A16" i="4"/>
  <c r="A52" i="4" s="1"/>
  <c r="A17" i="4"/>
  <c r="A53" i="4" s="1"/>
  <c r="A16" i="14" s="1"/>
  <c r="A18" i="4"/>
  <c r="A54" i="4" s="1"/>
  <c r="A17" i="14" s="1"/>
  <c r="A19" i="4"/>
  <c r="A55" i="4" s="1"/>
  <c r="A20" i="4"/>
  <c r="A56" i="4" s="1"/>
  <c r="A21" i="4"/>
  <c r="A57" i="4" s="1"/>
  <c r="A20" i="14" s="1"/>
  <c r="A22" i="4"/>
  <c r="A58" i="4" s="1"/>
  <c r="A21" i="14" s="1"/>
  <c r="A23" i="4"/>
  <c r="A59" i="4" s="1"/>
  <c r="A24" i="4"/>
  <c r="A60" i="4" s="1"/>
  <c r="A25" i="4"/>
  <c r="A61" i="4" s="1"/>
  <c r="A24" i="14" s="1"/>
  <c r="A26" i="4"/>
  <c r="A62" i="4" s="1"/>
  <c r="A25" i="14" s="1"/>
  <c r="A27" i="4"/>
  <c r="A63" i="4" s="1"/>
  <c r="A28" i="4"/>
  <c r="A64" i="4" s="1"/>
  <c r="A29" i="4"/>
  <c r="A4" i="4"/>
  <c r="A40" i="4" s="1"/>
  <c r="O40" i="4" s="1"/>
  <c r="AB40" i="4" s="1"/>
  <c r="H3" i="4"/>
  <c r="H38" i="4" s="1"/>
  <c r="V38" i="4" s="1"/>
  <c r="AI38" i="4" s="1"/>
  <c r="AS38" i="4" s="1"/>
  <c r="G3" i="4"/>
  <c r="G38" i="4" s="1"/>
  <c r="U38" i="4" s="1"/>
  <c r="AH38" i="4" s="1"/>
  <c r="AR38" i="4" s="1"/>
  <c r="F3" i="4"/>
  <c r="F38" i="4" s="1"/>
  <c r="T38" i="4" s="1"/>
  <c r="AG38" i="4" s="1"/>
  <c r="AQ38" i="4" s="1"/>
  <c r="E3" i="4"/>
  <c r="E38" i="4" s="1"/>
  <c r="S38" i="4" s="1"/>
  <c r="AF38" i="4" s="1"/>
  <c r="AP38" i="4" s="1"/>
  <c r="D3" i="4"/>
  <c r="D38" i="4" s="1"/>
  <c r="R38" i="4" s="1"/>
  <c r="AE38" i="4" s="1"/>
  <c r="AO38" i="4" s="1"/>
  <c r="C3" i="4"/>
  <c r="C38" i="4" s="1"/>
  <c r="Q38" i="4" s="1"/>
  <c r="AD38" i="4" s="1"/>
  <c r="AN38" i="4" s="1"/>
  <c r="H2" i="4"/>
  <c r="H37" i="4" s="1"/>
  <c r="V37" i="4" s="1"/>
  <c r="AI37" i="4" s="1"/>
  <c r="AS37" i="4" s="1"/>
  <c r="G2" i="4"/>
  <c r="G37" i="4" s="1"/>
  <c r="U37" i="4" s="1"/>
  <c r="AH37" i="4" s="1"/>
  <c r="AR37" i="4" s="1"/>
  <c r="F2" i="4"/>
  <c r="F37" i="4" s="1"/>
  <c r="T37" i="4" s="1"/>
  <c r="AG37" i="4" s="1"/>
  <c r="AQ37" i="4" s="1"/>
  <c r="E2" i="4"/>
  <c r="E37" i="4" s="1"/>
  <c r="S37" i="4" s="1"/>
  <c r="AF37" i="4" s="1"/>
  <c r="AP37" i="4" s="1"/>
  <c r="D2" i="4"/>
  <c r="D37" i="4" s="1"/>
  <c r="R37" i="4" s="1"/>
  <c r="AE37" i="4" s="1"/>
  <c r="AO37" i="4" s="1"/>
  <c r="C2" i="4"/>
  <c r="C37" i="4" s="1"/>
  <c r="Q37" i="4" s="1"/>
  <c r="AD37" i="4" s="1"/>
  <c r="AN37" i="4" s="1"/>
  <c r="B3" i="4"/>
  <c r="B38" i="4" s="1"/>
  <c r="P38" i="4" s="1"/>
  <c r="AC38" i="4" s="1"/>
  <c r="AM38" i="4" s="1"/>
  <c r="B2" i="4"/>
  <c r="B37" i="4" s="1"/>
  <c r="P37" i="4" s="1"/>
  <c r="AC37" i="4" s="1"/>
  <c r="AM37" i="4" s="1"/>
  <c r="A3" i="4"/>
  <c r="G46" i="21" l="1"/>
  <c r="H42" i="22"/>
  <c r="Y42" i="22" s="1"/>
  <c r="BJ42" i="22" s="1"/>
  <c r="F42" i="22"/>
  <c r="W42" i="22" s="1"/>
  <c r="BH42" i="22" s="1"/>
  <c r="C42" i="22"/>
  <c r="T42" i="22" s="1"/>
  <c r="BE42" i="22" s="1"/>
  <c r="AO41" i="22"/>
  <c r="Y42" i="25"/>
  <c r="C47" i="29"/>
  <c r="T47" i="29" s="1"/>
  <c r="F47" i="29"/>
  <c r="W47" i="29" s="1"/>
  <c r="B44" i="29"/>
  <c r="S44" i="29" s="1"/>
  <c r="Z43" i="29"/>
  <c r="AO42" i="29"/>
  <c r="AN42" i="29"/>
  <c r="H47" i="29"/>
  <c r="Y47" i="29" s="1"/>
  <c r="J43" i="29"/>
  <c r="K43" i="29" s="1"/>
  <c r="L43" i="29" s="1"/>
  <c r="J49" i="28"/>
  <c r="K49" i="28" s="1"/>
  <c r="L49" i="28" s="1"/>
  <c r="E51" i="28"/>
  <c r="D51" i="28"/>
  <c r="G51" i="28"/>
  <c r="Q49" i="28"/>
  <c r="P49" i="28"/>
  <c r="Y46" i="28"/>
  <c r="B51" i="28"/>
  <c r="J48" i="28"/>
  <c r="K48" i="28" s="1"/>
  <c r="L48" i="28" s="1"/>
  <c r="Q48" i="28"/>
  <c r="P48" i="28"/>
  <c r="T48" i="28"/>
  <c r="H50" i="28"/>
  <c r="V49" i="28"/>
  <c r="J41" i="26"/>
  <c r="K41" i="26" s="1"/>
  <c r="L41" i="26" s="1"/>
  <c r="Z41" i="26"/>
  <c r="AT41" i="26" s="1"/>
  <c r="AI43" i="25"/>
  <c r="V43" i="25"/>
  <c r="AC43" i="25"/>
  <c r="T43" i="25"/>
  <c r="Q43" i="25"/>
  <c r="AG43" i="25"/>
  <c r="P43" i="25"/>
  <c r="AT43" i="25"/>
  <c r="AU43" i="25" s="1"/>
  <c r="AM43" i="25"/>
  <c r="B44" i="25" s="1"/>
  <c r="AS43" i="25"/>
  <c r="H44" i="25" s="1"/>
  <c r="AN43" i="25"/>
  <c r="C44" i="25" s="1"/>
  <c r="J43" i="25"/>
  <c r="K43" i="25" s="1"/>
  <c r="L43" i="25" s="1"/>
  <c r="AQ43" i="25"/>
  <c r="F44" i="25" s="1"/>
  <c r="AJ43" i="25"/>
  <c r="AP41" i="24"/>
  <c r="AO41" i="21"/>
  <c r="Z42" i="21"/>
  <c r="AG42" i="21" s="1"/>
  <c r="B43" i="21"/>
  <c r="AZ44" i="24"/>
  <c r="H45" i="24" s="1"/>
  <c r="Y45" i="24" s="1"/>
  <c r="AP41" i="22"/>
  <c r="AN41" i="21"/>
  <c r="AT42" i="24"/>
  <c r="B43" i="24" s="1"/>
  <c r="Z42" i="24"/>
  <c r="H45" i="21"/>
  <c r="Y45" i="21" s="1"/>
  <c r="AO41" i="24"/>
  <c r="J42" i="21"/>
  <c r="K42" i="21" s="1"/>
  <c r="L42" i="21" s="1"/>
  <c r="I41" i="23"/>
  <c r="S41" i="23"/>
  <c r="C45" i="21"/>
  <c r="T45" i="21" s="1"/>
  <c r="J42" i="24"/>
  <c r="K42" i="24" s="1"/>
  <c r="L42" i="24" s="1"/>
  <c r="AY45" i="24"/>
  <c r="G46" i="24" s="1"/>
  <c r="AU44" i="24"/>
  <c r="C45" i="24" s="1"/>
  <c r="T45" i="24" s="1"/>
  <c r="B41" i="20"/>
  <c r="BL40" i="20"/>
  <c r="AQ40" i="20"/>
  <c r="AL39" i="12"/>
  <c r="BS39" i="12" s="1"/>
  <c r="AX39" i="12" s="1"/>
  <c r="P39" i="1"/>
  <c r="N59" i="12"/>
  <c r="AS59" i="12"/>
  <c r="R48" i="12"/>
  <c r="AS48" i="12"/>
  <c r="R64" i="12"/>
  <c r="AS64" i="12"/>
  <c r="AF65" i="9"/>
  <c r="N65" i="9"/>
  <c r="R65" i="9"/>
  <c r="R54" i="12"/>
  <c r="AS54" i="12"/>
  <c r="R62" i="12"/>
  <c r="AS62" i="12"/>
  <c r="N63" i="12"/>
  <c r="AS63" i="12"/>
  <c r="A28" i="14"/>
  <c r="R63" i="12"/>
  <c r="I39" i="4"/>
  <c r="W39" i="4" s="1"/>
  <c r="AJ39" i="4" s="1"/>
  <c r="AT39" i="4" s="1"/>
  <c r="N62" i="12"/>
  <c r="C40" i="4"/>
  <c r="AN40" i="4" s="1"/>
  <c r="C41" i="4" s="1"/>
  <c r="AN41" i="4" s="1"/>
  <c r="AG64" i="12"/>
  <c r="BN64" i="12" s="1"/>
  <c r="AL60" i="4"/>
  <c r="A23" i="14"/>
  <c r="O60" i="4"/>
  <c r="AB60" i="4" s="1"/>
  <c r="O41" i="4"/>
  <c r="AB41" i="4" s="1"/>
  <c r="A4" i="14"/>
  <c r="AL63" i="4"/>
  <c r="A26" i="14"/>
  <c r="O63" i="4"/>
  <c r="AL46" i="4"/>
  <c r="A9" i="14"/>
  <c r="N62" i="10"/>
  <c r="R62" i="10"/>
  <c r="AG62" i="10"/>
  <c r="AS62" i="10" s="1"/>
  <c r="BC62" i="10" s="1"/>
  <c r="R54" i="10"/>
  <c r="N54" i="10"/>
  <c r="AG54" i="10"/>
  <c r="AS54" i="10" s="1"/>
  <c r="BC54" i="10" s="1"/>
  <c r="O52" i="4"/>
  <c r="A15" i="14"/>
  <c r="AL55" i="4"/>
  <c r="A18" i="14"/>
  <c r="O55" i="4"/>
  <c r="AB55" i="4" s="1"/>
  <c r="B2" i="14"/>
  <c r="C2" i="14"/>
  <c r="AL40" i="4"/>
  <c r="A3" i="14"/>
  <c r="AL64" i="4"/>
  <c r="A27" i="14"/>
  <c r="O59" i="4"/>
  <c r="A22" i="14"/>
  <c r="O51" i="4"/>
  <c r="A14" i="14"/>
  <c r="AL45" i="4"/>
  <c r="A8" i="14"/>
  <c r="AL42" i="4"/>
  <c r="A5" i="14"/>
  <c r="T39" i="1"/>
  <c r="AL56" i="4"/>
  <c r="A19" i="14"/>
  <c r="H40" i="4"/>
  <c r="AS40" i="4" s="1"/>
  <c r="H41" i="4" s="1"/>
  <c r="AS41" i="4" s="1"/>
  <c r="Q39" i="1"/>
  <c r="V39" i="1"/>
  <c r="AG62" i="12"/>
  <c r="BN62" i="12" s="1"/>
  <c r="AG44" i="12"/>
  <c r="BN44" i="12" s="1"/>
  <c r="R44" i="12"/>
  <c r="AG52" i="12"/>
  <c r="BN52" i="12" s="1"/>
  <c r="N52" i="12"/>
  <c r="AG63" i="12"/>
  <c r="BN63" i="12" s="1"/>
  <c r="AI39" i="12"/>
  <c r="BP39" i="12" s="1"/>
  <c r="AU39" i="12" s="1"/>
  <c r="AN39" i="12"/>
  <c r="BU39" i="12" s="1"/>
  <c r="AZ39" i="12" s="1"/>
  <c r="AH39" i="12"/>
  <c r="BO39" i="12" s="1"/>
  <c r="AT39" i="12" s="1"/>
  <c r="N54" i="12"/>
  <c r="AH38" i="12"/>
  <c r="BO38" i="12" s="1"/>
  <c r="AT38" i="12" s="1"/>
  <c r="S38" i="12"/>
  <c r="AG61" i="12"/>
  <c r="BN61" i="12" s="1"/>
  <c r="R61" i="12"/>
  <c r="N61" i="12"/>
  <c r="N58" i="12"/>
  <c r="R58" i="12"/>
  <c r="AG58" i="12"/>
  <c r="BN58" i="12" s="1"/>
  <c r="N53" i="12"/>
  <c r="R53" i="12"/>
  <c r="AG53" i="12"/>
  <c r="BN53" i="12" s="1"/>
  <c r="N40" i="12"/>
  <c r="R40" i="12"/>
  <c r="AG40" i="12"/>
  <c r="BN40" i="12" s="1"/>
  <c r="N64" i="12"/>
  <c r="R52" i="12"/>
  <c r="BN66" i="12"/>
  <c r="T37" i="12"/>
  <c r="AG59" i="12"/>
  <c r="BN59" i="12" s="1"/>
  <c r="N48" i="12"/>
  <c r="R59" i="12"/>
  <c r="AG48" i="12"/>
  <c r="BN48" i="12" s="1"/>
  <c r="AG54" i="12"/>
  <c r="BN54" i="12" s="1"/>
  <c r="AG40" i="10"/>
  <c r="AS40" i="10" s="1"/>
  <c r="BC40" i="10" s="1"/>
  <c r="N40" i="10"/>
  <c r="N58" i="10"/>
  <c r="AG58" i="10"/>
  <c r="AS58" i="10" s="1"/>
  <c r="BC58" i="10" s="1"/>
  <c r="AH38" i="10"/>
  <c r="AT38" i="10" s="1"/>
  <c r="BD38" i="10" s="1"/>
  <c r="S38" i="10"/>
  <c r="N56" i="10"/>
  <c r="R56" i="10"/>
  <c r="AK38" i="10"/>
  <c r="AW38" i="10" s="1"/>
  <c r="BG38" i="10" s="1"/>
  <c r="V38" i="10"/>
  <c r="AG52" i="10"/>
  <c r="AS52" i="10" s="1"/>
  <c r="BC52" i="10" s="1"/>
  <c r="R52" i="10"/>
  <c r="AI39" i="10"/>
  <c r="AU39" i="10" s="1"/>
  <c r="BE39" i="10" s="1"/>
  <c r="N60" i="10"/>
  <c r="V37" i="10"/>
  <c r="AK37" i="10"/>
  <c r="AW37" i="10" s="1"/>
  <c r="BG37" i="10" s="1"/>
  <c r="N45" i="10"/>
  <c r="R45" i="10"/>
  <c r="AG45" i="10"/>
  <c r="AS45" i="10" s="1"/>
  <c r="BC45" i="10" s="1"/>
  <c r="AG50" i="10"/>
  <c r="AS50" i="10" s="1"/>
  <c r="BC50" i="10" s="1"/>
  <c r="N50" i="10"/>
  <c r="AG41" i="10"/>
  <c r="AS41" i="10" s="1"/>
  <c r="BC41" i="10" s="1"/>
  <c r="R41" i="10"/>
  <c r="AH37" i="10"/>
  <c r="AT37" i="10" s="1"/>
  <c r="BD37" i="10" s="1"/>
  <c r="S37" i="10"/>
  <c r="AI38" i="10"/>
  <c r="AU38" i="10" s="1"/>
  <c r="BE38" i="10" s="1"/>
  <c r="T38" i="10"/>
  <c r="N64" i="10"/>
  <c r="R64" i="10"/>
  <c r="AG64" i="10"/>
  <c r="AS64" i="10" s="1"/>
  <c r="BC64" i="10" s="1"/>
  <c r="AG53" i="10"/>
  <c r="AS53" i="10" s="1"/>
  <c r="BC53" i="10" s="1"/>
  <c r="N53" i="10"/>
  <c r="T37" i="10"/>
  <c r="AI37" i="10"/>
  <c r="AU37" i="10" s="1"/>
  <c r="BE37" i="10" s="1"/>
  <c r="N55" i="10"/>
  <c r="R55" i="10"/>
  <c r="AG55" i="10"/>
  <c r="AS55" i="10" s="1"/>
  <c r="BC55" i="10" s="1"/>
  <c r="N47" i="10"/>
  <c r="R47" i="10"/>
  <c r="AG47" i="10"/>
  <c r="AS47" i="10" s="1"/>
  <c r="BC47" i="10" s="1"/>
  <c r="AG51" i="10"/>
  <c r="AS51" i="10" s="1"/>
  <c r="BC51" i="10" s="1"/>
  <c r="Y37" i="10"/>
  <c r="AN39" i="10"/>
  <c r="AZ39" i="10" s="1"/>
  <c r="BJ39" i="10" s="1"/>
  <c r="N52" i="10"/>
  <c r="U37" i="10"/>
  <c r="AG60" i="10"/>
  <c r="AS60" i="10" s="1"/>
  <c r="BC60" i="10" s="1"/>
  <c r="R42" i="10"/>
  <c r="N49" i="10"/>
  <c r="W37" i="10"/>
  <c r="AL39" i="10"/>
  <c r="AX39" i="10" s="1"/>
  <c r="BH39" i="10" s="1"/>
  <c r="AH39" i="10"/>
  <c r="AT39" i="10" s="1"/>
  <c r="BD39" i="10" s="1"/>
  <c r="R48" i="10"/>
  <c r="R44" i="10"/>
  <c r="N51" i="10"/>
  <c r="C40" i="7"/>
  <c r="AC40" i="7" s="1"/>
  <c r="C41" i="7" s="1"/>
  <c r="AC41" i="7" s="1"/>
  <c r="C42" i="7" s="1"/>
  <c r="F40" i="7"/>
  <c r="AF40" i="7" s="1"/>
  <c r="F41" i="7" s="1"/>
  <c r="H40" i="7"/>
  <c r="AH40" i="7" s="1"/>
  <c r="H41" i="7" s="1"/>
  <c r="AI39" i="7"/>
  <c r="B40" i="7"/>
  <c r="AB40" i="7" s="1"/>
  <c r="O48" i="4"/>
  <c r="AB48" i="4" s="1"/>
  <c r="AL48" i="4"/>
  <c r="B40" i="4"/>
  <c r="AM40" i="4" s="1"/>
  <c r="O46" i="4"/>
  <c r="AB46" i="4" s="1"/>
  <c r="F40" i="4"/>
  <c r="AQ40" i="4" s="1"/>
  <c r="F41" i="4" s="1"/>
  <c r="AQ41" i="4" s="1"/>
  <c r="O64" i="4"/>
  <c r="AL41" i="4"/>
  <c r="V39" i="4"/>
  <c r="AI39" i="4" s="1"/>
  <c r="AS39" i="4" s="1"/>
  <c r="AL59" i="4"/>
  <c r="O42" i="4"/>
  <c r="AB42" i="4" s="1"/>
  <c r="O56" i="4"/>
  <c r="AB56" i="4" s="1"/>
  <c r="AL51" i="4"/>
  <c r="N47" i="9"/>
  <c r="AF47" i="9"/>
  <c r="AF43" i="9"/>
  <c r="AF59" i="9"/>
  <c r="N59" i="9"/>
  <c r="R64" i="9"/>
  <c r="AF64" i="9"/>
  <c r="R50" i="9"/>
  <c r="N50" i="9"/>
  <c r="AI37" i="9"/>
  <c r="U37" i="9"/>
  <c r="R44" i="9"/>
  <c r="N44" i="9"/>
  <c r="X37" i="9"/>
  <c r="AL37" i="9"/>
  <c r="T37" i="9"/>
  <c r="AH37" i="9"/>
  <c r="N51" i="9"/>
  <c r="N64" i="9"/>
  <c r="R45" i="9"/>
  <c r="AJ38" i="9"/>
  <c r="S38" i="9"/>
  <c r="N43" i="9"/>
  <c r="S37" i="9"/>
  <c r="Y38" i="9"/>
  <c r="AM38" i="9"/>
  <c r="W37" i="9"/>
  <c r="AK37" i="9"/>
  <c r="N40" i="9"/>
  <c r="R40" i="9"/>
  <c r="AF40" i="9"/>
  <c r="R58" i="9"/>
  <c r="AF58" i="9"/>
  <c r="N58" i="9"/>
  <c r="R54" i="9"/>
  <c r="AF54" i="9"/>
  <c r="N54" i="9"/>
  <c r="N46" i="9"/>
  <c r="AF46" i="9"/>
  <c r="R46" i="9"/>
  <c r="AF42" i="9"/>
  <c r="R42" i="9"/>
  <c r="N42" i="9"/>
  <c r="N49" i="9"/>
  <c r="R49" i="9"/>
  <c r="AI38" i="9"/>
  <c r="U38" i="9"/>
  <c r="N63" i="9"/>
  <c r="AF63" i="9"/>
  <c r="R63" i="9"/>
  <c r="W38" i="9"/>
  <c r="Y37" i="9"/>
  <c r="N55" i="9"/>
  <c r="R55" i="9"/>
  <c r="R56" i="9"/>
  <c r="R51" i="9"/>
  <c r="AF44" i="9"/>
  <c r="AH39" i="9"/>
  <c r="AF56" i="9"/>
  <c r="R57" i="9"/>
  <c r="AF50" i="9"/>
  <c r="X38" i="9"/>
  <c r="AL38" i="9"/>
  <c r="T38" i="9"/>
  <c r="AH38" i="9"/>
  <c r="AJ37" i="9"/>
  <c r="V37" i="9"/>
  <c r="N61" i="9"/>
  <c r="AF61" i="9"/>
  <c r="R61" i="9"/>
  <c r="N53" i="9"/>
  <c r="AF53" i="9"/>
  <c r="R53" i="9"/>
  <c r="N41" i="9"/>
  <c r="AF41" i="9"/>
  <c r="R41" i="9"/>
  <c r="I40" i="9"/>
  <c r="AF49" i="9"/>
  <c r="N57" i="9"/>
  <c r="AF45" i="9"/>
  <c r="AF62" i="9"/>
  <c r="AK39" i="9"/>
  <c r="R52" i="9"/>
  <c r="N48" i="9"/>
  <c r="AF48" i="9"/>
  <c r="R60" i="9"/>
  <c r="AM39" i="9"/>
  <c r="AF52" i="9"/>
  <c r="AF60" i="9"/>
  <c r="N62" i="9"/>
  <c r="AG39" i="9"/>
  <c r="O57" i="4"/>
  <c r="AL57" i="4"/>
  <c r="AL49" i="4"/>
  <c r="O49" i="4"/>
  <c r="AB49" i="4" s="1"/>
  <c r="AL43" i="4"/>
  <c r="O43" i="4"/>
  <c r="AB43" i="4" s="1"/>
  <c r="O62" i="4"/>
  <c r="AB62" i="4" s="1"/>
  <c r="AL62" i="4"/>
  <c r="O54" i="4"/>
  <c r="AB54" i="4" s="1"/>
  <c r="AL54" i="4"/>
  <c r="AL61" i="4"/>
  <c r="O61" i="4"/>
  <c r="AL53" i="4"/>
  <c r="O53" i="4"/>
  <c r="O47" i="4"/>
  <c r="AB47" i="4" s="1"/>
  <c r="AL47" i="4"/>
  <c r="AL58" i="4"/>
  <c r="O58" i="4"/>
  <c r="AB58" i="4" s="1"/>
  <c r="O50" i="4"/>
  <c r="AB50" i="4" s="1"/>
  <c r="AL50" i="4"/>
  <c r="AL44" i="4"/>
  <c r="O44" i="4"/>
  <c r="AB44" i="4" s="1"/>
  <c r="AL52" i="4"/>
  <c r="O45" i="4"/>
  <c r="AB45" i="4" s="1"/>
  <c r="F42" i="1"/>
  <c r="N63" i="10"/>
  <c r="R63" i="10"/>
  <c r="AG63" i="10"/>
  <c r="AS63" i="10" s="1"/>
  <c r="BC63" i="10" s="1"/>
  <c r="R59" i="10"/>
  <c r="AG59" i="10"/>
  <c r="AS59" i="10" s="1"/>
  <c r="BC59" i="10" s="1"/>
  <c r="N59" i="10"/>
  <c r="N43" i="10"/>
  <c r="R43" i="10"/>
  <c r="AG43" i="10"/>
  <c r="AS43" i="10" s="1"/>
  <c r="BC43" i="10" s="1"/>
  <c r="C41" i="1"/>
  <c r="I40" i="1"/>
  <c r="I39" i="7"/>
  <c r="D2" i="14" s="1"/>
  <c r="H41" i="1"/>
  <c r="B42" i="1"/>
  <c r="N61" i="10"/>
  <c r="R61" i="10"/>
  <c r="AG61" i="10"/>
  <c r="AS61" i="10" s="1"/>
  <c r="BC61" i="10" s="1"/>
  <c r="N57" i="10"/>
  <c r="AG57" i="10"/>
  <c r="AS57" i="10" s="1"/>
  <c r="BC57" i="10" s="1"/>
  <c r="R57" i="10"/>
  <c r="AG48" i="10"/>
  <c r="AS48" i="10" s="1"/>
  <c r="BC48" i="10" s="1"/>
  <c r="R50" i="10"/>
  <c r="R46" i="10"/>
  <c r="R58" i="10"/>
  <c r="N42" i="10"/>
  <c r="AG44" i="10"/>
  <c r="AS44" i="10" s="1"/>
  <c r="BC44" i="10" s="1"/>
  <c r="U38" i="10"/>
  <c r="W38" i="10"/>
  <c r="R53" i="10"/>
  <c r="Y38" i="10"/>
  <c r="N46" i="10"/>
  <c r="AG49" i="10"/>
  <c r="AS49" i="10" s="1"/>
  <c r="BC49" i="10" s="1"/>
  <c r="AG56" i="10"/>
  <c r="AS56" i="10" s="1"/>
  <c r="BC56" i="10" s="1"/>
  <c r="I40" i="10"/>
  <c r="X38" i="10"/>
  <c r="N41" i="10"/>
  <c r="R40" i="10"/>
  <c r="X37" i="10"/>
  <c r="W37" i="12"/>
  <c r="AL37" i="12"/>
  <c r="BS37" i="12" s="1"/>
  <c r="AX37" i="12" s="1"/>
  <c r="AK38" i="12"/>
  <c r="BR38" i="12" s="1"/>
  <c r="AW38" i="12" s="1"/>
  <c r="V38" i="12"/>
  <c r="N41" i="12"/>
  <c r="R41" i="12"/>
  <c r="AG41" i="12"/>
  <c r="BN41" i="12" s="1"/>
  <c r="N43" i="12"/>
  <c r="AG43" i="12"/>
  <c r="BN43" i="12" s="1"/>
  <c r="R43" i="12"/>
  <c r="AG50" i="12"/>
  <c r="BN50" i="12" s="1"/>
  <c r="R50" i="12"/>
  <c r="N50" i="12"/>
  <c r="T38" i="12"/>
  <c r="AI38" i="12"/>
  <c r="BP38" i="12" s="1"/>
  <c r="AU38" i="12" s="1"/>
  <c r="W38" i="12"/>
  <c r="AL38" i="12"/>
  <c r="BS38" i="12" s="1"/>
  <c r="AX38" i="12" s="1"/>
  <c r="AG45" i="12"/>
  <c r="BN45" i="12" s="1"/>
  <c r="N45" i="12"/>
  <c r="R45" i="12"/>
  <c r="R47" i="12"/>
  <c r="AG47" i="12"/>
  <c r="BN47" i="12" s="1"/>
  <c r="N47" i="12"/>
  <c r="N55" i="12"/>
  <c r="R55" i="12"/>
  <c r="AG55" i="12"/>
  <c r="BN55" i="12" s="1"/>
  <c r="N57" i="12"/>
  <c r="R57" i="12"/>
  <c r="AG57" i="12"/>
  <c r="BN57" i="12" s="1"/>
  <c r="AG60" i="12"/>
  <c r="BN60" i="12" s="1"/>
  <c r="N60" i="12"/>
  <c r="R60" i="12"/>
  <c r="AJ37" i="12"/>
  <c r="BQ37" i="12" s="1"/>
  <c r="AV37" i="12" s="1"/>
  <c r="U37" i="12"/>
  <c r="X38" i="12"/>
  <c r="AM38" i="12"/>
  <c r="BT38" i="12" s="1"/>
  <c r="AY38" i="12" s="1"/>
  <c r="R42" i="12"/>
  <c r="N42" i="12"/>
  <c r="AG42" i="12"/>
  <c r="BN42" i="12" s="1"/>
  <c r="N49" i="12"/>
  <c r="R49" i="12"/>
  <c r="AG49" i="12"/>
  <c r="BN49" i="12" s="1"/>
  <c r="R51" i="12"/>
  <c r="N51" i="12"/>
  <c r="AG51" i="12"/>
  <c r="BN51" i="12" s="1"/>
  <c r="S37" i="12"/>
  <c r="AH37" i="12"/>
  <c r="BO37" i="12" s="1"/>
  <c r="AT37" i="12" s="1"/>
  <c r="AK37" i="12"/>
  <c r="BR37" i="12" s="1"/>
  <c r="AW37" i="12" s="1"/>
  <c r="V37" i="12"/>
  <c r="Y37" i="12"/>
  <c r="AN37" i="12"/>
  <c r="BU37" i="12" s="1"/>
  <c r="AZ37" i="12" s="1"/>
  <c r="Y38" i="12"/>
  <c r="AN38" i="12"/>
  <c r="BU38" i="12" s="1"/>
  <c r="AZ38" i="12" s="1"/>
  <c r="N46" i="12"/>
  <c r="AG46" i="12"/>
  <c r="BN46" i="12" s="1"/>
  <c r="R46" i="12"/>
  <c r="AG56" i="12"/>
  <c r="BN56" i="12" s="1"/>
  <c r="N56" i="12"/>
  <c r="R56" i="12"/>
  <c r="X37" i="12"/>
  <c r="U38" i="12"/>
  <c r="N44" i="12"/>
  <c r="I40" i="12"/>
  <c r="X46" i="24" l="1"/>
  <c r="AY46" i="24" s="1"/>
  <c r="X46" i="21"/>
  <c r="G47" i="21" s="1"/>
  <c r="X47" i="21" s="1"/>
  <c r="G48" i="21" s="1"/>
  <c r="X48" i="21" s="1"/>
  <c r="AQ41" i="22"/>
  <c r="AP41" i="21"/>
  <c r="B42" i="22"/>
  <c r="BL41" i="22"/>
  <c r="AQ41" i="24"/>
  <c r="AP42" i="29"/>
  <c r="H48" i="29"/>
  <c r="Y48" i="29" s="1"/>
  <c r="AA43" i="29"/>
  <c r="AB43" i="29" s="1"/>
  <c r="AC43" i="29" s="1"/>
  <c r="AD43" i="29"/>
  <c r="AK43" i="29"/>
  <c r="AM43" i="29"/>
  <c r="AH43" i="29"/>
  <c r="F48" i="29"/>
  <c r="W48" i="29" s="1"/>
  <c r="AG43" i="29"/>
  <c r="I44" i="29"/>
  <c r="C48" i="29"/>
  <c r="T48" i="29" s="1"/>
  <c r="H51" i="28"/>
  <c r="I51" i="28" s="1"/>
  <c r="U51" i="28" s="1"/>
  <c r="G52" i="28"/>
  <c r="B52" i="28"/>
  <c r="W49" i="28"/>
  <c r="X49" i="28"/>
  <c r="X48" i="28"/>
  <c r="W48" i="28"/>
  <c r="D52" i="28"/>
  <c r="I50" i="28"/>
  <c r="E52" i="28"/>
  <c r="AH41" i="26"/>
  <c r="BK41" i="26"/>
  <c r="AD41" i="26"/>
  <c r="BA41" i="26"/>
  <c r="AA41" i="26"/>
  <c r="AB41" i="26" s="1"/>
  <c r="AC41" i="26" s="1"/>
  <c r="AN41" i="26"/>
  <c r="AX41" i="26"/>
  <c r="AU41" i="26"/>
  <c r="AL41" i="26"/>
  <c r="AI41" i="26"/>
  <c r="AZ41" i="26"/>
  <c r="W43" i="25"/>
  <c r="X43" i="25"/>
  <c r="I44" i="25"/>
  <c r="AI44" i="25" s="1"/>
  <c r="Z41" i="23"/>
  <c r="AT41" i="23" s="1"/>
  <c r="AU45" i="24"/>
  <c r="BB42" i="24"/>
  <c r="AA42" i="24"/>
  <c r="AB42" i="24" s="1"/>
  <c r="AC42" i="24" s="1"/>
  <c r="BV42" i="24"/>
  <c r="AD42" i="24"/>
  <c r="BA42" i="24"/>
  <c r="BU42" i="24"/>
  <c r="AL42" i="24"/>
  <c r="AN42" i="24"/>
  <c r="BS42" i="24"/>
  <c r="AI42" i="24"/>
  <c r="BP42" i="24"/>
  <c r="AH42" i="24"/>
  <c r="S43" i="21"/>
  <c r="I43" i="21"/>
  <c r="I43" i="24"/>
  <c r="S43" i="24"/>
  <c r="AD42" i="21"/>
  <c r="AA42" i="21"/>
  <c r="AB42" i="21" s="1"/>
  <c r="AC42" i="21" s="1"/>
  <c r="AM42" i="21"/>
  <c r="AK42" i="21"/>
  <c r="AH42" i="21"/>
  <c r="H46" i="21"/>
  <c r="BO42" i="24"/>
  <c r="J41" i="23"/>
  <c r="K41" i="23" s="1"/>
  <c r="L41" i="23" s="1"/>
  <c r="AZ45" i="24"/>
  <c r="H46" i="24" s="1"/>
  <c r="C3" i="14"/>
  <c r="AM68" i="4"/>
  <c r="I41" i="20"/>
  <c r="J41" i="20" s="1"/>
  <c r="K41" i="20" s="1"/>
  <c r="L41" i="20" s="1"/>
  <c r="S41" i="20"/>
  <c r="AB52" i="4"/>
  <c r="AB61" i="4"/>
  <c r="AB59" i="4"/>
  <c r="AB53" i="4"/>
  <c r="AB51" i="4"/>
  <c r="AB64" i="4"/>
  <c r="AB63" i="4"/>
  <c r="AB57" i="4"/>
  <c r="P39" i="4"/>
  <c r="AC39" i="4" s="1"/>
  <c r="AM39" i="4" s="1"/>
  <c r="Q39" i="4"/>
  <c r="AD39" i="4" s="1"/>
  <c r="AN39" i="4" s="1"/>
  <c r="T39" i="4"/>
  <c r="AG39" i="4" s="1"/>
  <c r="AQ39" i="4" s="1"/>
  <c r="I41" i="1"/>
  <c r="C4" i="14" s="1"/>
  <c r="I40" i="4"/>
  <c r="I40" i="7"/>
  <c r="O40" i="9"/>
  <c r="J40" i="9"/>
  <c r="K40" i="9" s="1"/>
  <c r="L40" i="9" s="1"/>
  <c r="O40" i="12"/>
  <c r="J40" i="12"/>
  <c r="K40" i="12" s="1"/>
  <c r="L40" i="12" s="1"/>
  <c r="O40" i="10"/>
  <c r="J40" i="10"/>
  <c r="K40" i="10" s="1"/>
  <c r="L40" i="10" s="1"/>
  <c r="Q39" i="7"/>
  <c r="P39" i="7"/>
  <c r="V39" i="7"/>
  <c r="T39" i="7"/>
  <c r="W39" i="7"/>
  <c r="F43" i="1"/>
  <c r="AC42" i="7"/>
  <c r="C43" i="7" s="1"/>
  <c r="AF41" i="7"/>
  <c r="F42" i="7" s="1"/>
  <c r="B41" i="4"/>
  <c r="AM41" i="4" s="1"/>
  <c r="AT40" i="4"/>
  <c r="B43" i="1"/>
  <c r="P40" i="1"/>
  <c r="J40" i="1"/>
  <c r="K40" i="1" s="1"/>
  <c r="L40" i="1" s="1"/>
  <c r="T40" i="1"/>
  <c r="Q40" i="1"/>
  <c r="B41" i="7"/>
  <c r="AI40" i="7"/>
  <c r="H42" i="1"/>
  <c r="C42" i="1"/>
  <c r="AJ39" i="7"/>
  <c r="V40" i="1"/>
  <c r="AH41" i="7"/>
  <c r="H42" i="7" s="1"/>
  <c r="E48" i="21" l="1"/>
  <c r="V48" i="21" s="1"/>
  <c r="D48" i="21"/>
  <c r="U48" i="21" s="1"/>
  <c r="S42" i="22"/>
  <c r="BD42" i="22" s="1"/>
  <c r="I42" i="22"/>
  <c r="J42" i="22" s="1"/>
  <c r="K42" i="22" s="1"/>
  <c r="L42" i="22" s="1"/>
  <c r="AO42" i="21"/>
  <c r="AH41" i="23"/>
  <c r="Y43" i="25"/>
  <c r="Z44" i="29"/>
  <c r="B45" i="29"/>
  <c r="S45" i="29" s="1"/>
  <c r="G49" i="29"/>
  <c r="X49" i="29" s="1"/>
  <c r="J44" i="29"/>
  <c r="K44" i="29" s="1"/>
  <c r="L44" i="29" s="1"/>
  <c r="AN43" i="29"/>
  <c r="AO43" i="29"/>
  <c r="C49" i="29"/>
  <c r="T49" i="29" s="1"/>
  <c r="H49" i="29"/>
  <c r="Y49" i="29" s="1"/>
  <c r="Y48" i="28"/>
  <c r="R51" i="28"/>
  <c r="S51" i="28"/>
  <c r="Y49" i="28"/>
  <c r="D53" i="28"/>
  <c r="E53" i="28"/>
  <c r="J51" i="28"/>
  <c r="K51" i="28" s="1"/>
  <c r="L51" i="28" s="1"/>
  <c r="G53" i="28"/>
  <c r="J50" i="28"/>
  <c r="K50" i="28" s="1"/>
  <c r="L50" i="28" s="1"/>
  <c r="U50" i="28"/>
  <c r="P50" i="28"/>
  <c r="Q50" i="28"/>
  <c r="P51" i="28"/>
  <c r="V51" i="28"/>
  <c r="H52" i="28"/>
  <c r="I52" i="28" s="1"/>
  <c r="B53" i="28"/>
  <c r="V50" i="28"/>
  <c r="AP41" i="26"/>
  <c r="AO41" i="26"/>
  <c r="BD41" i="26"/>
  <c r="BJ41" i="26"/>
  <c r="H42" i="26" s="1"/>
  <c r="Y42" i="26" s="1"/>
  <c r="BH41" i="26"/>
  <c r="F42" i="26" s="1"/>
  <c r="BE41" i="26"/>
  <c r="C42" i="26" s="1"/>
  <c r="P44" i="25"/>
  <c r="V44" i="25"/>
  <c r="AD44" i="25"/>
  <c r="T44" i="25"/>
  <c r="AC44" i="25"/>
  <c r="AQ44" i="25"/>
  <c r="F45" i="25" s="1"/>
  <c r="AJ44" i="25"/>
  <c r="J44" i="25"/>
  <c r="K44" i="25" s="1"/>
  <c r="L44" i="25" s="1"/>
  <c r="AN44" i="25"/>
  <c r="C45" i="25" s="1"/>
  <c r="AT44" i="25"/>
  <c r="AU44" i="25" s="1"/>
  <c r="AS44" i="25"/>
  <c r="H45" i="25" s="1"/>
  <c r="AM44" i="25"/>
  <c r="B45" i="25" s="1"/>
  <c r="AG44" i="25"/>
  <c r="Q44" i="25"/>
  <c r="J43" i="24"/>
  <c r="K43" i="24" s="1"/>
  <c r="L43" i="24" s="1"/>
  <c r="AP42" i="24"/>
  <c r="AO42" i="24"/>
  <c r="G49" i="21"/>
  <c r="X49" i="21" s="1"/>
  <c r="H47" i="21"/>
  <c r="Y47" i="21" s="1"/>
  <c r="J43" i="21"/>
  <c r="K43" i="21" s="1"/>
  <c r="L43" i="21" s="1"/>
  <c r="AN42" i="21"/>
  <c r="AP42" i="21" s="1"/>
  <c r="BK41" i="23"/>
  <c r="AA41" i="23"/>
  <c r="AB41" i="23" s="1"/>
  <c r="AC41" i="23" s="1"/>
  <c r="BA41" i="23"/>
  <c r="AD41" i="23"/>
  <c r="AN41" i="23"/>
  <c r="AL41" i="23"/>
  <c r="AX41" i="23"/>
  <c r="AZ41" i="23"/>
  <c r="AU41" i="23"/>
  <c r="AI41" i="23"/>
  <c r="AZ46" i="24"/>
  <c r="H47" i="24" s="1"/>
  <c r="Y47" i="24" s="1"/>
  <c r="AT43" i="24"/>
  <c r="B44" i="24" s="1"/>
  <c r="Z43" i="24"/>
  <c r="BO43" i="24" s="1"/>
  <c r="B44" i="21"/>
  <c r="Z43" i="21"/>
  <c r="AG43" i="21" s="1"/>
  <c r="Z41" i="20"/>
  <c r="AT41" i="20" s="1"/>
  <c r="T40" i="4"/>
  <c r="J41" i="1"/>
  <c r="K41" i="1" s="1"/>
  <c r="L41" i="1" s="1"/>
  <c r="T41" i="1"/>
  <c r="Q41" i="1"/>
  <c r="V41" i="1"/>
  <c r="P40" i="4"/>
  <c r="J40" i="4"/>
  <c r="K40" i="4" s="1"/>
  <c r="L40" i="4" s="1"/>
  <c r="AG40" i="4"/>
  <c r="AJ40" i="4"/>
  <c r="P41" i="1"/>
  <c r="AC40" i="4"/>
  <c r="V40" i="4"/>
  <c r="AI40" i="4"/>
  <c r="Q40" i="4"/>
  <c r="AU40" i="4"/>
  <c r="B3" i="14"/>
  <c r="AD40" i="4"/>
  <c r="I42" i="1"/>
  <c r="C5" i="14" s="1"/>
  <c r="J40" i="7"/>
  <c r="K40" i="7" s="1"/>
  <c r="L40" i="7" s="1"/>
  <c r="D3" i="14"/>
  <c r="X40" i="1"/>
  <c r="W40" i="1"/>
  <c r="T40" i="7"/>
  <c r="Q40" i="7"/>
  <c r="AJ40" i="7"/>
  <c r="V40" i="7"/>
  <c r="P40" i="7"/>
  <c r="W40" i="9"/>
  <c r="F41" i="9" s="1"/>
  <c r="Y40" i="9"/>
  <c r="H41" i="9" s="1"/>
  <c r="O41" i="9"/>
  <c r="O42" i="9" s="1"/>
  <c r="O43" i="9" s="1"/>
  <c r="O44" i="9" s="1"/>
  <c r="O45" i="9" s="1"/>
  <c r="O46" i="9" s="1"/>
  <c r="O47" i="9" s="1"/>
  <c r="O48" i="9" s="1"/>
  <c r="S40" i="9"/>
  <c r="T40" i="9"/>
  <c r="AH42" i="7"/>
  <c r="H43" i="7" s="1"/>
  <c r="G46" i="1"/>
  <c r="O41" i="10"/>
  <c r="S40" i="10"/>
  <c r="Y40" i="10"/>
  <c r="T40" i="10"/>
  <c r="W40" i="10"/>
  <c r="H43" i="1"/>
  <c r="AB41" i="7"/>
  <c r="I41" i="7"/>
  <c r="I41" i="4"/>
  <c r="C43" i="1"/>
  <c r="B44" i="1"/>
  <c r="AF42" i="7"/>
  <c r="F43" i="7" s="1"/>
  <c r="AC43" i="7"/>
  <c r="C44" i="7" s="1"/>
  <c r="T40" i="12"/>
  <c r="W40" i="12"/>
  <c r="O41" i="12"/>
  <c r="Y40" i="12"/>
  <c r="S40" i="12"/>
  <c r="AV47" i="24" l="1"/>
  <c r="D48" i="24" s="1"/>
  <c r="U48" i="24" s="1"/>
  <c r="D49" i="24" s="1"/>
  <c r="U49" i="24" s="1"/>
  <c r="AW47" i="24"/>
  <c r="E48" i="24" s="1"/>
  <c r="V48" i="24" s="1"/>
  <c r="E49" i="24" s="1"/>
  <c r="V49" i="24" s="1"/>
  <c r="Z42" i="22"/>
  <c r="AH42" i="22" s="1"/>
  <c r="E49" i="21"/>
  <c r="V49" i="21" s="1"/>
  <c r="D49" i="21"/>
  <c r="U49" i="21" s="1"/>
  <c r="AP41" i="23"/>
  <c r="AA44" i="29"/>
  <c r="AB44" i="29" s="1"/>
  <c r="AC44" i="29" s="1"/>
  <c r="AD44" i="29"/>
  <c r="AM44" i="29"/>
  <c r="AK44" i="29"/>
  <c r="AH44" i="29"/>
  <c r="H50" i="29"/>
  <c r="Y50" i="29" s="1"/>
  <c r="AP43" i="29"/>
  <c r="G50" i="29"/>
  <c r="X50" i="29" s="1"/>
  <c r="AG44" i="29"/>
  <c r="C50" i="29"/>
  <c r="T50" i="29" s="1"/>
  <c r="I45" i="29"/>
  <c r="J45" i="29" s="1"/>
  <c r="K45" i="29" s="1"/>
  <c r="L45" i="29" s="1"/>
  <c r="J52" i="28"/>
  <c r="K52" i="28" s="1"/>
  <c r="L52" i="28" s="1"/>
  <c r="R52" i="28"/>
  <c r="U52" i="28"/>
  <c r="P52" i="28"/>
  <c r="S52" i="28"/>
  <c r="W51" i="28"/>
  <c r="X51" i="28"/>
  <c r="E54" i="28"/>
  <c r="V52" i="28"/>
  <c r="H53" i="28"/>
  <c r="I53" i="28" s="1"/>
  <c r="X50" i="28"/>
  <c r="W50" i="28"/>
  <c r="G54" i="28"/>
  <c r="D54" i="28"/>
  <c r="B54" i="28"/>
  <c r="AQ41" i="26"/>
  <c r="B42" i="26"/>
  <c r="S42" i="26" s="1"/>
  <c r="BL41" i="26"/>
  <c r="W44" i="25"/>
  <c r="I45" i="25"/>
  <c r="T45" i="25" s="1"/>
  <c r="X44" i="25"/>
  <c r="AQ42" i="24"/>
  <c r="AH43" i="24"/>
  <c r="I44" i="21"/>
  <c r="S44" i="21"/>
  <c r="AO41" i="23"/>
  <c r="AZ47" i="24"/>
  <c r="H48" i="24" s="1"/>
  <c r="Y48" i="24" s="1"/>
  <c r="H48" i="21"/>
  <c r="Y48" i="21" s="1"/>
  <c r="AD43" i="21"/>
  <c r="AA43" i="21"/>
  <c r="AB43" i="21" s="1"/>
  <c r="AC43" i="21" s="1"/>
  <c r="AM43" i="21"/>
  <c r="AK43" i="21"/>
  <c r="AH43" i="21"/>
  <c r="BB43" i="24"/>
  <c r="BV43" i="24"/>
  <c r="AA43" i="24"/>
  <c r="AB43" i="24" s="1"/>
  <c r="AC43" i="24" s="1"/>
  <c r="AD43" i="24"/>
  <c r="BA43" i="24"/>
  <c r="BU43" i="24"/>
  <c r="AI43" i="24"/>
  <c r="BS43" i="24"/>
  <c r="BP43" i="24"/>
  <c r="AL43" i="24"/>
  <c r="AN43" i="24"/>
  <c r="I44" i="24"/>
  <c r="S44" i="24"/>
  <c r="BJ41" i="23"/>
  <c r="H42" i="23" s="1"/>
  <c r="Y42" i="23" s="1"/>
  <c r="BE41" i="23"/>
  <c r="C42" i="23" s="1"/>
  <c r="T42" i="23" s="1"/>
  <c r="BD41" i="23"/>
  <c r="BH41" i="23"/>
  <c r="F42" i="23" s="1"/>
  <c r="W42" i="23" s="1"/>
  <c r="J42" i="1"/>
  <c r="K42" i="1" s="1"/>
  <c r="L42" i="1" s="1"/>
  <c r="AH41" i="20"/>
  <c r="AX41" i="20"/>
  <c r="AN41" i="20"/>
  <c r="AA41" i="20"/>
  <c r="AB41" i="20" s="1"/>
  <c r="AC41" i="20" s="1"/>
  <c r="AL41" i="20"/>
  <c r="AU41" i="20"/>
  <c r="BK41" i="20"/>
  <c r="AD41" i="20"/>
  <c r="BA41" i="20"/>
  <c r="AI41" i="20"/>
  <c r="AZ41" i="20"/>
  <c r="X41" i="1"/>
  <c r="W41" i="1"/>
  <c r="O42" i="12"/>
  <c r="O43" i="12" s="1"/>
  <c r="O44" i="12" s="1"/>
  <c r="O45" i="12" s="1"/>
  <c r="O46" i="12" s="1"/>
  <c r="O47" i="12" s="1"/>
  <c r="O48" i="12" s="1"/>
  <c r="O49" i="12" s="1"/>
  <c r="O50" i="12" s="1"/>
  <c r="O51" i="12" s="1"/>
  <c r="O52" i="12" s="1"/>
  <c r="O53" i="12" s="1"/>
  <c r="O54" i="12" s="1"/>
  <c r="O55" i="12" s="1"/>
  <c r="O56" i="12" s="1"/>
  <c r="O57" i="12" s="1"/>
  <c r="O58" i="12" s="1"/>
  <c r="O59" i="12" s="1"/>
  <c r="O60" i="12" s="1"/>
  <c r="O61" i="12" s="1"/>
  <c r="O62" i="12" s="1"/>
  <c r="O63" i="12" s="1"/>
  <c r="O64" i="12" s="1"/>
  <c r="O65" i="12" s="1"/>
  <c r="O66" i="12" s="1"/>
  <c r="O42" i="10"/>
  <c r="O43" i="10" s="1"/>
  <c r="O44" i="10" s="1"/>
  <c r="O45" i="10" s="1"/>
  <c r="O46" i="10" s="1"/>
  <c r="O47" i="10" s="1"/>
  <c r="O48" i="10" s="1"/>
  <c r="O49" i="10" s="1"/>
  <c r="O50" i="10" s="1"/>
  <c r="O51" i="10" s="1"/>
  <c r="O52" i="10" s="1"/>
  <c r="O53" i="10" s="1"/>
  <c r="O54" i="10" s="1"/>
  <c r="O55" i="10" s="1"/>
  <c r="O56" i="10" s="1"/>
  <c r="O57" i="10" s="1"/>
  <c r="O58" i="10" s="1"/>
  <c r="O59" i="10" s="1"/>
  <c r="O60" i="10" s="1"/>
  <c r="O61" i="10" s="1"/>
  <c r="O62" i="10" s="1"/>
  <c r="O63" i="10" s="1"/>
  <c r="O64" i="10" s="1"/>
  <c r="O65" i="10" s="1"/>
  <c r="P42" i="1"/>
  <c r="W40" i="4"/>
  <c r="X40" i="4"/>
  <c r="V42" i="1"/>
  <c r="Q42" i="1"/>
  <c r="T42" i="1"/>
  <c r="I43" i="1"/>
  <c r="P41" i="4"/>
  <c r="B4" i="14"/>
  <c r="Y40" i="1"/>
  <c r="P41" i="7"/>
  <c r="D4" i="14"/>
  <c r="W40" i="7"/>
  <c r="X40" i="7"/>
  <c r="O49" i="9"/>
  <c r="W41" i="9"/>
  <c r="F42" i="9" s="1"/>
  <c r="W42" i="9" s="1"/>
  <c r="F43" i="9" s="1"/>
  <c r="W43" i="9" s="1"/>
  <c r="B41" i="9"/>
  <c r="Z40" i="9"/>
  <c r="Y41" i="9"/>
  <c r="H42" i="9" s="1"/>
  <c r="Y42" i="9" s="1"/>
  <c r="H43" i="9" s="1"/>
  <c r="Y43" i="9" s="1"/>
  <c r="C41" i="9"/>
  <c r="T41" i="9" s="1"/>
  <c r="C42" i="9" s="1"/>
  <c r="T42" i="9" s="1"/>
  <c r="C43" i="9" s="1"/>
  <c r="T43" i="9" s="1"/>
  <c r="AH43" i="7"/>
  <c r="H44" i="7" s="1"/>
  <c r="AC44" i="7"/>
  <c r="C45" i="7" s="1"/>
  <c r="AX40" i="12"/>
  <c r="F41" i="12" s="1"/>
  <c r="W41" i="12" s="1"/>
  <c r="B45" i="1"/>
  <c r="AJ41" i="4"/>
  <c r="J41" i="4"/>
  <c r="K41" i="4" s="1"/>
  <c r="L41" i="4" s="1"/>
  <c r="AT41" i="4"/>
  <c r="V41" i="4"/>
  <c r="Q41" i="4"/>
  <c r="AI41" i="4"/>
  <c r="AD41" i="4"/>
  <c r="AG41" i="4"/>
  <c r="T41" i="4"/>
  <c r="BJ40" i="10"/>
  <c r="H41" i="10" s="1"/>
  <c r="Y41" i="10" s="1"/>
  <c r="Z40" i="12"/>
  <c r="AL40" i="12" s="1"/>
  <c r="AT40" i="12"/>
  <c r="B41" i="12" s="1"/>
  <c r="AZ40" i="12"/>
  <c r="H41" i="12" s="1"/>
  <c r="Y41" i="12" s="1"/>
  <c r="J41" i="7"/>
  <c r="K41" i="7" s="1"/>
  <c r="L41" i="7" s="1"/>
  <c r="Q41" i="7"/>
  <c r="T41" i="7"/>
  <c r="V41" i="7"/>
  <c r="H44" i="1"/>
  <c r="BD40" i="10"/>
  <c r="B41" i="10" s="1"/>
  <c r="Z40" i="10"/>
  <c r="AZ40" i="10" s="1"/>
  <c r="G47" i="1"/>
  <c r="BE40" i="10"/>
  <c r="C41" i="10" s="1"/>
  <c r="T41" i="10" s="1"/>
  <c r="AF43" i="7"/>
  <c r="AU40" i="12"/>
  <c r="C41" i="12" s="1"/>
  <c r="T41" i="12" s="1"/>
  <c r="C44" i="1"/>
  <c r="AC41" i="4"/>
  <c r="AI41" i="7"/>
  <c r="AJ41" i="7" s="1"/>
  <c r="B42" i="7"/>
  <c r="BH40" i="10"/>
  <c r="F41" i="10" s="1"/>
  <c r="W41" i="10" s="1"/>
  <c r="E50" i="24" l="1"/>
  <c r="V50" i="24" s="1"/>
  <c r="D50" i="24"/>
  <c r="U50" i="24" s="1"/>
  <c r="AT42" i="22"/>
  <c r="AU41" i="4"/>
  <c r="F42" i="4"/>
  <c r="AQ42" i="4" s="1"/>
  <c r="C42" i="4"/>
  <c r="AN42" i="4" s="1"/>
  <c r="H42" i="4"/>
  <c r="AS42" i="4" s="1"/>
  <c r="B42" i="4"/>
  <c r="BA42" i="22"/>
  <c r="AZ42" i="22"/>
  <c r="AX42" i="22"/>
  <c r="AD42" i="22"/>
  <c r="AL42" i="22"/>
  <c r="AU42" i="22"/>
  <c r="BK42" i="22"/>
  <c r="AA42" i="22"/>
  <c r="AB42" i="22" s="1"/>
  <c r="AC42" i="22" s="1"/>
  <c r="AI42" i="22"/>
  <c r="AP42" i="22" s="1"/>
  <c r="AN42" i="22"/>
  <c r="AQ41" i="23"/>
  <c r="D50" i="21"/>
  <c r="U50" i="21" s="1"/>
  <c r="E50" i="21"/>
  <c r="V50" i="21" s="1"/>
  <c r="AO43" i="21"/>
  <c r="G51" i="29"/>
  <c r="X51" i="29" s="1"/>
  <c r="E51" i="29"/>
  <c r="V51" i="29" s="1"/>
  <c r="D51" i="29"/>
  <c r="U51" i="29" s="1"/>
  <c r="AN44" i="29"/>
  <c r="AO44" i="29"/>
  <c r="Z45" i="29"/>
  <c r="B46" i="29"/>
  <c r="S46" i="29" s="1"/>
  <c r="H51" i="29"/>
  <c r="Y51" i="29" s="1"/>
  <c r="Y50" i="28"/>
  <c r="J53" i="28"/>
  <c r="K53" i="28" s="1"/>
  <c r="L53" i="28" s="1"/>
  <c r="U53" i="28"/>
  <c r="P53" i="28"/>
  <c r="S53" i="28"/>
  <c r="R53" i="28"/>
  <c r="X52" i="28"/>
  <c r="W52" i="28"/>
  <c r="H54" i="28"/>
  <c r="V53" i="28"/>
  <c r="B55" i="28"/>
  <c r="G55" i="28"/>
  <c r="Y51" i="28"/>
  <c r="D55" i="28"/>
  <c r="E55" i="28"/>
  <c r="I42" i="26"/>
  <c r="AI45" i="25"/>
  <c r="Y44" i="25"/>
  <c r="P45" i="25"/>
  <c r="AD45" i="25"/>
  <c r="V45" i="25"/>
  <c r="AC45" i="25"/>
  <c r="AT45" i="25"/>
  <c r="AU45" i="25" s="1"/>
  <c r="AM45" i="25"/>
  <c r="B46" i="25" s="1"/>
  <c r="AS45" i="25"/>
  <c r="H46" i="25" s="1"/>
  <c r="AN45" i="25"/>
  <c r="C46" i="25" s="1"/>
  <c r="AJ45" i="25"/>
  <c r="J45" i="25"/>
  <c r="K45" i="25" s="1"/>
  <c r="L45" i="25" s="1"/>
  <c r="AQ45" i="25"/>
  <c r="F46" i="25" s="1"/>
  <c r="AG45" i="25"/>
  <c r="Q45" i="25"/>
  <c r="AP43" i="24"/>
  <c r="AO43" i="24"/>
  <c r="H49" i="24"/>
  <c r="Y49" i="24" s="1"/>
  <c r="AN43" i="21"/>
  <c r="H49" i="21"/>
  <c r="Y49" i="21" s="1"/>
  <c r="J44" i="21"/>
  <c r="K44" i="21" s="1"/>
  <c r="L44" i="21" s="1"/>
  <c r="AT44" i="24"/>
  <c r="B45" i="24" s="1"/>
  <c r="Z44" i="24"/>
  <c r="BO44" i="24" s="1"/>
  <c r="J44" i="24"/>
  <c r="K44" i="24" s="1"/>
  <c r="L44" i="24" s="1"/>
  <c r="B42" i="23"/>
  <c r="BL41" i="23"/>
  <c r="Z44" i="21"/>
  <c r="B45" i="21"/>
  <c r="Y41" i="1"/>
  <c r="O67" i="12"/>
  <c r="O68" i="12" s="1"/>
  <c r="O69" i="12" s="1"/>
  <c r="O70" i="12" s="1"/>
  <c r="V43" i="1"/>
  <c r="AP41" i="20"/>
  <c r="AO41" i="20"/>
  <c r="BD41" i="20"/>
  <c r="BJ41" i="20"/>
  <c r="H42" i="20" s="1"/>
  <c r="Y42" i="20" s="1"/>
  <c r="BH41" i="20"/>
  <c r="F42" i="20" s="1"/>
  <c r="W42" i="20" s="1"/>
  <c r="BE41" i="20"/>
  <c r="C42" i="20" s="1"/>
  <c r="T42" i="20" s="1"/>
  <c r="Y40" i="4"/>
  <c r="P43" i="1"/>
  <c r="X42" i="1"/>
  <c r="O66" i="10"/>
  <c r="Q43" i="1"/>
  <c r="C6" i="14"/>
  <c r="T43" i="1"/>
  <c r="W42" i="1"/>
  <c r="J43" i="1"/>
  <c r="K43" i="1" s="1"/>
  <c r="L43" i="1" s="1"/>
  <c r="W41" i="4"/>
  <c r="Y40" i="7"/>
  <c r="X41" i="4"/>
  <c r="BO40" i="12"/>
  <c r="AN40" i="12"/>
  <c r="BP40" i="12"/>
  <c r="BU40" i="12"/>
  <c r="AI40" i="12"/>
  <c r="AH40" i="12"/>
  <c r="AU40" i="10"/>
  <c r="AL40" i="10"/>
  <c r="AX40" i="10"/>
  <c r="AH40" i="10"/>
  <c r="AT40" i="10"/>
  <c r="AI40" i="10"/>
  <c r="X41" i="7"/>
  <c r="W41" i="7"/>
  <c r="O50" i="9"/>
  <c r="S41" i="9"/>
  <c r="I41" i="9"/>
  <c r="AM40" i="9"/>
  <c r="AA40" i="9"/>
  <c r="AB40" i="9" s="1"/>
  <c r="AC40" i="9" s="1"/>
  <c r="AD40" i="9"/>
  <c r="AK40" i="9"/>
  <c r="AH40" i="9"/>
  <c r="AG40" i="9"/>
  <c r="AB42" i="7"/>
  <c r="I42" i="7"/>
  <c r="S41" i="10"/>
  <c r="I41" i="10"/>
  <c r="AN40" i="10"/>
  <c r="BS40" i="12"/>
  <c r="AU41" i="12"/>
  <c r="C42" i="12" s="1"/>
  <c r="T42" i="12" s="1"/>
  <c r="F44" i="9"/>
  <c r="W44" i="9" s="1"/>
  <c r="C44" i="9"/>
  <c r="T44" i="9" s="1"/>
  <c r="BE41" i="10"/>
  <c r="C42" i="10" s="1"/>
  <c r="T42" i="10" s="1"/>
  <c r="H45" i="1"/>
  <c r="S41" i="12"/>
  <c r="I41" i="12"/>
  <c r="BJ41" i="10"/>
  <c r="H42" i="10" s="1"/>
  <c r="Y42" i="10" s="1"/>
  <c r="B46" i="1"/>
  <c r="AX41" i="12"/>
  <c r="F42" i="12" s="1"/>
  <c r="W42" i="12" s="1"/>
  <c r="AH44" i="7"/>
  <c r="H45" i="7" s="1"/>
  <c r="AF44" i="7"/>
  <c r="G46" i="7" s="1"/>
  <c r="H44" i="9"/>
  <c r="Y44" i="9" s="1"/>
  <c r="BH41" i="10"/>
  <c r="F42" i="10" s="1"/>
  <c r="W42" i="10" s="1"/>
  <c r="C45" i="1"/>
  <c r="AA40" i="10"/>
  <c r="AB40" i="10" s="1"/>
  <c r="AC40" i="10" s="1"/>
  <c r="BL40" i="10"/>
  <c r="AD40" i="10"/>
  <c r="BK40" i="10"/>
  <c r="BA40" i="10"/>
  <c r="AZ41" i="12"/>
  <c r="H42" i="12" s="1"/>
  <c r="Y42" i="12" s="1"/>
  <c r="AA40" i="12"/>
  <c r="AB40" i="12" s="1"/>
  <c r="AC40" i="12" s="1"/>
  <c r="BA40" i="12"/>
  <c r="AD40" i="12"/>
  <c r="BV40" i="12"/>
  <c r="BB40" i="12"/>
  <c r="I44" i="1"/>
  <c r="C7" i="14" s="1"/>
  <c r="AC45" i="7"/>
  <c r="E51" i="21" l="1"/>
  <c r="D51" i="21"/>
  <c r="AO42" i="22"/>
  <c r="AQ42" i="22" s="1"/>
  <c r="H43" i="22"/>
  <c r="Y43" i="22" s="1"/>
  <c r="H44" i="22" s="1"/>
  <c r="Y44" i="22" s="1"/>
  <c r="C43" i="22"/>
  <c r="T43" i="22" s="1"/>
  <c r="C44" i="22" s="1"/>
  <c r="T44" i="22" s="1"/>
  <c r="F43" i="22"/>
  <c r="W43" i="22" s="1"/>
  <c r="AM42" i="4"/>
  <c r="B43" i="4" s="1"/>
  <c r="I42" i="4"/>
  <c r="AI42" i="4" s="1"/>
  <c r="G48" i="1"/>
  <c r="AQ43" i="24"/>
  <c r="AP43" i="21"/>
  <c r="H43" i="4"/>
  <c r="C43" i="4"/>
  <c r="F43" i="4"/>
  <c r="Y52" i="28"/>
  <c r="AP44" i="29"/>
  <c r="AD45" i="29"/>
  <c r="AA45" i="29"/>
  <c r="AB45" i="29" s="1"/>
  <c r="AC45" i="29" s="1"/>
  <c r="AH45" i="29"/>
  <c r="AM45" i="29"/>
  <c r="AK45" i="29"/>
  <c r="D52" i="29"/>
  <c r="U52" i="29" s="1"/>
  <c r="H52" i="29"/>
  <c r="Y52" i="29" s="1"/>
  <c r="E52" i="29"/>
  <c r="V52" i="29" s="1"/>
  <c r="G52" i="29"/>
  <c r="X52" i="29" s="1"/>
  <c r="AG45" i="29"/>
  <c r="I46" i="29"/>
  <c r="J46" i="29" s="1"/>
  <c r="K46" i="29" s="1"/>
  <c r="L46" i="29" s="1"/>
  <c r="D56" i="28"/>
  <c r="H55" i="28"/>
  <c r="I55" i="28" s="1"/>
  <c r="E56" i="28"/>
  <c r="I54" i="28"/>
  <c r="V54" i="28" s="1"/>
  <c r="W53" i="28"/>
  <c r="X53" i="28"/>
  <c r="B56" i="28"/>
  <c r="G56" i="28"/>
  <c r="Z42" i="26"/>
  <c r="J42" i="26"/>
  <c r="K42" i="26" s="1"/>
  <c r="L42" i="26" s="1"/>
  <c r="X45" i="25"/>
  <c r="W45" i="25"/>
  <c r="I46" i="25"/>
  <c r="V46" i="25" s="1"/>
  <c r="AH44" i="24"/>
  <c r="H50" i="21"/>
  <c r="Y50" i="21" s="1"/>
  <c r="I45" i="21"/>
  <c r="J45" i="21" s="1"/>
  <c r="K45" i="21" s="1"/>
  <c r="L45" i="21" s="1"/>
  <c r="S45" i="21"/>
  <c r="BA44" i="24"/>
  <c r="BV44" i="24"/>
  <c r="AA44" i="24"/>
  <c r="AB44" i="24" s="1"/>
  <c r="AC44" i="24" s="1"/>
  <c r="AD44" i="24"/>
  <c r="BB44" i="24"/>
  <c r="BS44" i="24"/>
  <c r="AN44" i="24"/>
  <c r="AL44" i="24"/>
  <c r="BP44" i="24"/>
  <c r="AI44" i="24"/>
  <c r="BU44" i="24"/>
  <c r="AA44" i="21"/>
  <c r="AB44" i="21" s="1"/>
  <c r="AC44" i="21" s="1"/>
  <c r="AD44" i="21"/>
  <c r="AM44" i="21"/>
  <c r="AH44" i="21"/>
  <c r="AK44" i="21"/>
  <c r="I42" i="23"/>
  <c r="S42" i="23"/>
  <c r="AG44" i="21"/>
  <c r="I45" i="24"/>
  <c r="J45" i="24" s="1"/>
  <c r="K45" i="24" s="1"/>
  <c r="L45" i="24" s="1"/>
  <c r="S45" i="24"/>
  <c r="G50" i="21"/>
  <c r="X50" i="21" s="1"/>
  <c r="AQ41" i="20"/>
  <c r="Y42" i="1"/>
  <c r="B42" i="20"/>
  <c r="BL41" i="20"/>
  <c r="D5" i="14"/>
  <c r="J41" i="9"/>
  <c r="K41" i="9" s="1"/>
  <c r="L41" i="9" s="1"/>
  <c r="O71" i="12"/>
  <c r="I76" i="12" s="1"/>
  <c r="O67" i="10"/>
  <c r="O68" i="10" s="1"/>
  <c r="O69" i="10" s="1"/>
  <c r="O70" i="10" s="1"/>
  <c r="X43" i="1"/>
  <c r="W43" i="1"/>
  <c r="I45" i="1"/>
  <c r="C8" i="14" s="1"/>
  <c r="Y41" i="4"/>
  <c r="AO40" i="9"/>
  <c r="P42" i="7"/>
  <c r="AP40" i="10"/>
  <c r="AP40" i="12"/>
  <c r="AO40" i="12"/>
  <c r="AO40" i="10"/>
  <c r="Y41" i="7"/>
  <c r="O51" i="9"/>
  <c r="O52" i="9" s="1"/>
  <c r="O53" i="9" s="1"/>
  <c r="O54" i="9" s="1"/>
  <c r="O55" i="9" s="1"/>
  <c r="O56" i="9" s="1"/>
  <c r="O57" i="9" s="1"/>
  <c r="O58" i="9" s="1"/>
  <c r="O59" i="9" s="1"/>
  <c r="O60" i="9" s="1"/>
  <c r="O61" i="9" s="1"/>
  <c r="O62" i="9" s="1"/>
  <c r="O63" i="9" s="1"/>
  <c r="O64" i="9" s="1"/>
  <c r="B42" i="9"/>
  <c r="Z41" i="9"/>
  <c r="AG41" i="9" s="1"/>
  <c r="AN40" i="9"/>
  <c r="AZ42" i="12"/>
  <c r="H43" i="12" s="1"/>
  <c r="Y43" i="12" s="1"/>
  <c r="H45" i="9"/>
  <c r="Y45" i="9" s="1"/>
  <c r="AH45" i="7"/>
  <c r="H46" i="7" s="1"/>
  <c r="AX42" i="12"/>
  <c r="F43" i="12" s="1"/>
  <c r="W43" i="12" s="1"/>
  <c r="J41" i="12"/>
  <c r="K41" i="12" s="1"/>
  <c r="L41" i="12" s="1"/>
  <c r="C45" i="9"/>
  <c r="T45" i="9" s="1"/>
  <c r="J44" i="1"/>
  <c r="K44" i="1" s="1"/>
  <c r="L44" i="1" s="1"/>
  <c r="P44" i="1"/>
  <c r="T44" i="1"/>
  <c r="Q44" i="1"/>
  <c r="Z41" i="12"/>
  <c r="BO41" i="12" s="1"/>
  <c r="AT41" i="12"/>
  <c r="B42" i="12" s="1"/>
  <c r="J41" i="10"/>
  <c r="K41" i="10" s="1"/>
  <c r="L41" i="10" s="1"/>
  <c r="BH42" i="10"/>
  <c r="F43" i="10" s="1"/>
  <c r="W43" i="10" s="1"/>
  <c r="B47" i="1"/>
  <c r="H46" i="1"/>
  <c r="BE42" i="10"/>
  <c r="C43" i="10" s="1"/>
  <c r="T43" i="10" s="1"/>
  <c r="F45" i="9"/>
  <c r="W45" i="9" s="1"/>
  <c r="AU42" i="12"/>
  <c r="C43" i="12" s="1"/>
  <c r="T43" i="12" s="1"/>
  <c r="BD41" i="10"/>
  <c r="B42" i="10" s="1"/>
  <c r="Z41" i="10"/>
  <c r="AT41" i="10" s="1"/>
  <c r="J42" i="7"/>
  <c r="K42" i="7" s="1"/>
  <c r="L42" i="7" s="1"/>
  <c r="Q42" i="7"/>
  <c r="V42" i="7"/>
  <c r="T42" i="7"/>
  <c r="AG46" i="7"/>
  <c r="G47" i="7" s="1"/>
  <c r="BJ42" i="10"/>
  <c r="H43" i="10" s="1"/>
  <c r="Y43" i="10" s="1"/>
  <c r="V44" i="1"/>
  <c r="AI42" i="7"/>
  <c r="AJ42" i="7" s="1"/>
  <c r="B43" i="7"/>
  <c r="E48" i="1" l="1"/>
  <c r="D48" i="1"/>
  <c r="E48" i="7"/>
  <c r="D48" i="7"/>
  <c r="B43" i="22"/>
  <c r="BL42" i="22"/>
  <c r="AG42" i="4"/>
  <c r="AJ42" i="4"/>
  <c r="AD42" i="4"/>
  <c r="T42" i="4"/>
  <c r="AT42" i="4"/>
  <c r="AU42" i="4" s="1"/>
  <c r="Q42" i="4"/>
  <c r="AC42" i="4"/>
  <c r="B5" i="14"/>
  <c r="P42" i="4"/>
  <c r="J42" i="4"/>
  <c r="K42" i="4" s="1"/>
  <c r="L42" i="4" s="1"/>
  <c r="V42" i="4"/>
  <c r="G49" i="1"/>
  <c r="B44" i="4"/>
  <c r="I43" i="4"/>
  <c r="AC43" i="4" s="1"/>
  <c r="C44" i="4"/>
  <c r="H44" i="4"/>
  <c r="E53" i="29"/>
  <c r="V53" i="29" s="1"/>
  <c r="D53" i="29"/>
  <c r="U53" i="29" s="1"/>
  <c r="G53" i="29"/>
  <c r="X53" i="29" s="1"/>
  <c r="H53" i="29"/>
  <c r="Y53" i="29" s="1"/>
  <c r="AO45" i="29"/>
  <c r="AN45" i="29"/>
  <c r="Z46" i="29"/>
  <c r="AG46" i="29" s="1"/>
  <c r="B47" i="29"/>
  <c r="S47" i="29" s="1"/>
  <c r="J55" i="28"/>
  <c r="K55" i="28" s="1"/>
  <c r="L55" i="28" s="1"/>
  <c r="Y53" i="28"/>
  <c r="P55" i="28"/>
  <c r="B57" i="28"/>
  <c r="J54" i="28"/>
  <c r="K54" i="28" s="1"/>
  <c r="L54" i="28" s="1"/>
  <c r="R54" i="28"/>
  <c r="U54" i="28"/>
  <c r="S54" i="28"/>
  <c r="P54" i="28"/>
  <c r="H56" i="28"/>
  <c r="I56" i="28" s="1"/>
  <c r="V55" i="28"/>
  <c r="G57" i="28"/>
  <c r="S55" i="28"/>
  <c r="R55" i="28"/>
  <c r="U55" i="28"/>
  <c r="E57" i="28"/>
  <c r="D57" i="28"/>
  <c r="BA42" i="26"/>
  <c r="AA42" i="26"/>
  <c r="AB42" i="26" s="1"/>
  <c r="AC42" i="26" s="1"/>
  <c r="BK42" i="26"/>
  <c r="AD42" i="26"/>
  <c r="AX42" i="26"/>
  <c r="AU42" i="26"/>
  <c r="AL42" i="26"/>
  <c r="AI42" i="26"/>
  <c r="AZ42" i="26"/>
  <c r="AN42" i="26"/>
  <c r="AH42" i="26"/>
  <c r="AT42" i="26"/>
  <c r="Y45" i="25"/>
  <c r="T46" i="25"/>
  <c r="Q46" i="25"/>
  <c r="P46" i="25"/>
  <c r="AQ46" i="25"/>
  <c r="F47" i="25" s="1"/>
  <c r="AJ46" i="25"/>
  <c r="J46" i="25"/>
  <c r="K46" i="25" s="1"/>
  <c r="L46" i="25" s="1"/>
  <c r="AN46" i="25"/>
  <c r="C47" i="25" s="1"/>
  <c r="AS46" i="25"/>
  <c r="H47" i="25" s="1"/>
  <c r="AT46" i="25"/>
  <c r="AU46" i="25" s="1"/>
  <c r="AM46" i="25"/>
  <c r="B47" i="25" s="1"/>
  <c r="AI46" i="25"/>
  <c r="AD46" i="25"/>
  <c r="AC46" i="25"/>
  <c r="AG46" i="25"/>
  <c r="AO44" i="24"/>
  <c r="AP44" i="24"/>
  <c r="Z42" i="23"/>
  <c r="AH42" i="23" s="1"/>
  <c r="J42" i="23"/>
  <c r="K42" i="23" s="1"/>
  <c r="L42" i="23" s="1"/>
  <c r="G51" i="21"/>
  <c r="X51" i="21" s="1"/>
  <c r="U51" i="21"/>
  <c r="V51" i="21"/>
  <c r="AN44" i="21"/>
  <c r="AO44" i="21"/>
  <c r="Z45" i="24"/>
  <c r="AH45" i="24" s="1"/>
  <c r="AT45" i="24"/>
  <c r="B46" i="24" s="1"/>
  <c r="H51" i="21"/>
  <c r="Y51" i="21" s="1"/>
  <c r="B46" i="21"/>
  <c r="Z45" i="21"/>
  <c r="AG45" i="21" s="1"/>
  <c r="Y43" i="1"/>
  <c r="J45" i="1"/>
  <c r="K45" i="1" s="1"/>
  <c r="L45" i="1" s="1"/>
  <c r="V45" i="1"/>
  <c r="I79" i="12"/>
  <c r="Q45" i="1"/>
  <c r="I42" i="20"/>
  <c r="J42" i="20" s="1"/>
  <c r="K42" i="20" s="1"/>
  <c r="L42" i="20" s="1"/>
  <c r="S42" i="20"/>
  <c r="O71" i="10"/>
  <c r="I76" i="10" s="1"/>
  <c r="P45" i="1"/>
  <c r="T45" i="1"/>
  <c r="O65" i="9"/>
  <c r="O66" i="9" s="1"/>
  <c r="O67" i="9" s="1"/>
  <c r="O68" i="9" s="1"/>
  <c r="O69" i="9" s="1"/>
  <c r="AQ40" i="12"/>
  <c r="W42" i="7"/>
  <c r="AQ40" i="10"/>
  <c r="I46" i="1"/>
  <c r="C9" i="14" s="1"/>
  <c r="X44" i="1"/>
  <c r="W44" i="1"/>
  <c r="AP40" i="9"/>
  <c r="X42" i="7"/>
  <c r="AH41" i="12"/>
  <c r="AD41" i="9"/>
  <c r="AK41" i="9"/>
  <c r="AM41" i="9"/>
  <c r="AA41" i="9"/>
  <c r="AB41" i="9" s="1"/>
  <c r="AC41" i="9" s="1"/>
  <c r="AH41" i="9"/>
  <c r="S42" i="9"/>
  <c r="I42" i="9"/>
  <c r="AG47" i="7"/>
  <c r="G48" i="7" s="1"/>
  <c r="AG48" i="7" s="1"/>
  <c r="G49" i="7" s="1"/>
  <c r="F46" i="9"/>
  <c r="W46" i="9" s="1"/>
  <c r="BJ43" i="10"/>
  <c r="H44" i="10" s="1"/>
  <c r="Y44" i="10" s="1"/>
  <c r="AU43" i="12"/>
  <c r="C44" i="12" s="1"/>
  <c r="T44" i="12" s="1"/>
  <c r="BH43" i="10"/>
  <c r="F44" i="10" s="1"/>
  <c r="W44" i="10" s="1"/>
  <c r="AA41" i="12"/>
  <c r="AB41" i="12" s="1"/>
  <c r="AC41" i="12" s="1"/>
  <c r="BA41" i="12"/>
  <c r="AD41" i="12"/>
  <c r="BV41" i="12"/>
  <c r="BB41" i="12"/>
  <c r="AL41" i="12"/>
  <c r="BU41" i="12"/>
  <c r="AN41" i="12"/>
  <c r="BS41" i="12"/>
  <c r="AI41" i="12"/>
  <c r="BP41" i="12"/>
  <c r="AH46" i="7"/>
  <c r="H47" i="7" s="1"/>
  <c r="I43" i="7"/>
  <c r="AB43" i="7"/>
  <c r="S42" i="10"/>
  <c r="I42" i="10"/>
  <c r="BE43" i="10"/>
  <c r="C44" i="10" s="1"/>
  <c r="T44" i="10" s="1"/>
  <c r="C46" i="9"/>
  <c r="T46" i="9" s="1"/>
  <c r="AA41" i="10"/>
  <c r="AB41" i="10" s="1"/>
  <c r="AC41" i="10" s="1"/>
  <c r="BK41" i="10"/>
  <c r="BA41" i="10"/>
  <c r="BL41" i="10"/>
  <c r="AD41" i="10"/>
  <c r="AN41" i="10"/>
  <c r="AI41" i="10"/>
  <c r="AZ41" i="10"/>
  <c r="AX41" i="10"/>
  <c r="AU41" i="10"/>
  <c r="AL41" i="10"/>
  <c r="H47" i="1"/>
  <c r="B48" i="1"/>
  <c r="AX43" i="12"/>
  <c r="F44" i="12" s="1"/>
  <c r="W44" i="12" s="1"/>
  <c r="AZ43" i="12"/>
  <c r="H44" i="12" s="1"/>
  <c r="Y44" i="12" s="1"/>
  <c r="AH41" i="10"/>
  <c r="S42" i="12"/>
  <c r="I42" i="12"/>
  <c r="H46" i="9"/>
  <c r="Y46" i="9" s="1"/>
  <c r="X42" i="4" l="1"/>
  <c r="W42" i="4"/>
  <c r="Y42" i="4" s="1"/>
  <c r="E49" i="1"/>
  <c r="D49" i="1"/>
  <c r="AE48" i="7"/>
  <c r="E49" i="7" s="1"/>
  <c r="AD48" i="7"/>
  <c r="D49" i="7" s="1"/>
  <c r="S43" i="22"/>
  <c r="I43" i="22"/>
  <c r="J43" i="22" s="1"/>
  <c r="K43" i="22" s="1"/>
  <c r="L43" i="22" s="1"/>
  <c r="AQ44" i="24"/>
  <c r="B6" i="14"/>
  <c r="J43" i="4"/>
  <c r="K43" i="4" s="1"/>
  <c r="L43" i="4" s="1"/>
  <c r="V43" i="4"/>
  <c r="P43" i="4"/>
  <c r="Q43" i="4"/>
  <c r="AD43" i="4"/>
  <c r="T43" i="4"/>
  <c r="AT43" i="4"/>
  <c r="AU43" i="4" s="1"/>
  <c r="AJ43" i="4"/>
  <c r="AI43" i="4"/>
  <c r="AG43" i="4"/>
  <c r="AP45" i="29"/>
  <c r="B45" i="4"/>
  <c r="I44" i="4"/>
  <c r="P44" i="4" s="1"/>
  <c r="BO45" i="24"/>
  <c r="O70" i="9"/>
  <c r="G54" i="29"/>
  <c r="X54" i="29" s="1"/>
  <c r="E54" i="29"/>
  <c r="V54" i="29" s="1"/>
  <c r="I47" i="29"/>
  <c r="J47" i="29" s="1"/>
  <c r="K47" i="29" s="1"/>
  <c r="L47" i="29" s="1"/>
  <c r="AD46" i="29"/>
  <c r="AA46" i="29"/>
  <c r="AB46" i="29" s="1"/>
  <c r="AC46" i="29" s="1"/>
  <c r="AH46" i="29"/>
  <c r="AM46" i="29"/>
  <c r="AK46" i="29"/>
  <c r="H54" i="29"/>
  <c r="Y54" i="29" s="1"/>
  <c r="D54" i="29"/>
  <c r="U54" i="29" s="1"/>
  <c r="X55" i="28"/>
  <c r="J56" i="28"/>
  <c r="K56" i="28" s="1"/>
  <c r="L56" i="28" s="1"/>
  <c r="R56" i="28"/>
  <c r="U56" i="28"/>
  <c r="P56" i="28"/>
  <c r="S56" i="28"/>
  <c r="D58" i="28"/>
  <c r="V56" i="28"/>
  <c r="H57" i="28"/>
  <c r="E58" i="28"/>
  <c r="X54" i="28"/>
  <c r="W54" i="28"/>
  <c r="W55" i="28"/>
  <c r="Y55" i="28" s="1"/>
  <c r="G58" i="28"/>
  <c r="B58" i="28"/>
  <c r="AO42" i="26"/>
  <c r="AP42" i="26"/>
  <c r="BH42" i="26"/>
  <c r="F43" i="26" s="1"/>
  <c r="BE42" i="26"/>
  <c r="C43" i="26" s="1"/>
  <c r="BD42" i="26"/>
  <c r="BJ42" i="26"/>
  <c r="H43" i="26" s="1"/>
  <c r="Y43" i="26" s="1"/>
  <c r="X46" i="25"/>
  <c r="W46" i="25"/>
  <c r="I47" i="25"/>
  <c r="AC47" i="25" s="1"/>
  <c r="E52" i="21"/>
  <c r="V52" i="21" s="1"/>
  <c r="BK42" i="23"/>
  <c r="BA42" i="23"/>
  <c r="AD42" i="23"/>
  <c r="AA42" i="23"/>
  <c r="AB42" i="23" s="1"/>
  <c r="AC42" i="23" s="1"/>
  <c r="AI42" i="23"/>
  <c r="AX42" i="23"/>
  <c r="AL42" i="23"/>
  <c r="AU42" i="23"/>
  <c r="AN42" i="23"/>
  <c r="AZ42" i="23"/>
  <c r="I46" i="21"/>
  <c r="J46" i="21" s="1"/>
  <c r="K46" i="21" s="1"/>
  <c r="L46" i="21" s="1"/>
  <c r="AP44" i="21"/>
  <c r="H52" i="21"/>
  <c r="Y52" i="21" s="1"/>
  <c r="D52" i="21"/>
  <c r="U52" i="21" s="1"/>
  <c r="G52" i="21"/>
  <c r="X52" i="21" s="1"/>
  <c r="AT42" i="23"/>
  <c r="AA45" i="24"/>
  <c r="AB45" i="24" s="1"/>
  <c r="AC45" i="24" s="1"/>
  <c r="BV45" i="24"/>
  <c r="BA45" i="24"/>
  <c r="BB45" i="24"/>
  <c r="AD45" i="24"/>
  <c r="AI45" i="24"/>
  <c r="BS45" i="24"/>
  <c r="BU45" i="24"/>
  <c r="AN45" i="24"/>
  <c r="BP45" i="24"/>
  <c r="AL45" i="24"/>
  <c r="AD45" i="21"/>
  <c r="AA45" i="21"/>
  <c r="AB45" i="21" s="1"/>
  <c r="AC45" i="21" s="1"/>
  <c r="AK45" i="21"/>
  <c r="AH45" i="21"/>
  <c r="AM45" i="21"/>
  <c r="I46" i="24"/>
  <c r="J46" i="24" s="1"/>
  <c r="K46" i="24" s="1"/>
  <c r="L46" i="24" s="1"/>
  <c r="X45" i="1"/>
  <c r="W45" i="1"/>
  <c r="Z42" i="20"/>
  <c r="AT42" i="20" s="1"/>
  <c r="J42" i="9"/>
  <c r="K42" i="9" s="1"/>
  <c r="L42" i="9" s="1"/>
  <c r="F27" i="8"/>
  <c r="I79" i="10"/>
  <c r="Q46" i="1"/>
  <c r="T46" i="1"/>
  <c r="V46" i="1"/>
  <c r="P46" i="1"/>
  <c r="O71" i="9"/>
  <c r="I76" i="9" s="1"/>
  <c r="G27" i="8" s="1"/>
  <c r="J46" i="1"/>
  <c r="K46" i="1" s="1"/>
  <c r="L46" i="1" s="1"/>
  <c r="Y44" i="1"/>
  <c r="I47" i="1"/>
  <c r="AO41" i="9"/>
  <c r="Y42" i="7"/>
  <c r="P43" i="7"/>
  <c r="D6" i="14"/>
  <c r="AP41" i="10"/>
  <c r="AP41" i="12"/>
  <c r="AO41" i="12"/>
  <c r="AO41" i="10"/>
  <c r="AN41" i="9"/>
  <c r="B43" i="9"/>
  <c r="Z42" i="9"/>
  <c r="Z42" i="12"/>
  <c r="BO42" i="12" s="1"/>
  <c r="AT42" i="12"/>
  <c r="B43" i="12" s="1"/>
  <c r="H48" i="1"/>
  <c r="AU44" i="12"/>
  <c r="C45" i="12" s="1"/>
  <c r="T45" i="12" s="1"/>
  <c r="C47" i="9"/>
  <c r="T47" i="9" s="1"/>
  <c r="J42" i="10"/>
  <c r="K42" i="10" s="1"/>
  <c r="L42" i="10" s="1"/>
  <c r="C45" i="4"/>
  <c r="H45" i="4"/>
  <c r="F47" i="9"/>
  <c r="W47" i="9" s="1"/>
  <c r="H47" i="9"/>
  <c r="Y47" i="9" s="1"/>
  <c r="J42" i="12"/>
  <c r="K42" i="12" s="1"/>
  <c r="L42" i="12" s="1"/>
  <c r="AX44" i="12"/>
  <c r="F45" i="12" s="1"/>
  <c r="W45" i="12" s="1"/>
  <c r="B49" i="1"/>
  <c r="BD42" i="10"/>
  <c r="B43" i="10" s="1"/>
  <c r="Z42" i="10"/>
  <c r="AH42" i="10" s="1"/>
  <c r="B44" i="7"/>
  <c r="AI43" i="7"/>
  <c r="AJ43" i="7" s="1"/>
  <c r="AH47" i="7"/>
  <c r="H48" i="7" s="1"/>
  <c r="AZ44" i="12"/>
  <c r="H45" i="12" s="1"/>
  <c r="Y45" i="12" s="1"/>
  <c r="J43" i="7"/>
  <c r="K43" i="7" s="1"/>
  <c r="L43" i="7" s="1"/>
  <c r="Q43" i="7"/>
  <c r="T43" i="7"/>
  <c r="V43" i="7"/>
  <c r="B44" i="22" l="1"/>
  <c r="Z43" i="22"/>
  <c r="AT43" i="22" s="1"/>
  <c r="C10" i="14"/>
  <c r="U47" i="1"/>
  <c r="D50" i="7"/>
  <c r="E50" i="7"/>
  <c r="X43" i="4"/>
  <c r="W43" i="4"/>
  <c r="AC44" i="4"/>
  <c r="V44" i="4"/>
  <c r="T44" i="4"/>
  <c r="B7" i="14"/>
  <c r="AT44" i="4"/>
  <c r="AI44" i="4"/>
  <c r="J44" i="4"/>
  <c r="K44" i="4" s="1"/>
  <c r="L44" i="4" s="1"/>
  <c r="AD44" i="4"/>
  <c r="AJ44" i="4"/>
  <c r="Q44" i="4"/>
  <c r="Y54" i="28"/>
  <c r="AP42" i="23"/>
  <c r="AP45" i="24"/>
  <c r="AO42" i="23"/>
  <c r="AO46" i="29"/>
  <c r="H55" i="29"/>
  <c r="Y55" i="29" s="1"/>
  <c r="G55" i="29"/>
  <c r="X55" i="29" s="1"/>
  <c r="D55" i="29"/>
  <c r="U55" i="29" s="1"/>
  <c r="B48" i="29"/>
  <c r="S48" i="29" s="1"/>
  <c r="Z47" i="29"/>
  <c r="AN46" i="29"/>
  <c r="E55" i="29"/>
  <c r="V55" i="29" s="1"/>
  <c r="E59" i="28"/>
  <c r="B59" i="28"/>
  <c r="X56" i="28"/>
  <c r="W56" i="28"/>
  <c r="H58" i="28"/>
  <c r="I58" i="28" s="1"/>
  <c r="P58" i="28" s="1"/>
  <c r="I57" i="28"/>
  <c r="G59" i="28"/>
  <c r="D59" i="28"/>
  <c r="B43" i="26"/>
  <c r="S43" i="26" s="1"/>
  <c r="BL42" i="26"/>
  <c r="AQ42" i="26"/>
  <c r="Y46" i="25"/>
  <c r="AI47" i="25"/>
  <c r="V47" i="25"/>
  <c r="T47" i="25"/>
  <c r="AT47" i="25"/>
  <c r="AU47" i="25" s="1"/>
  <c r="AM47" i="25"/>
  <c r="B48" i="25" s="1"/>
  <c r="AS47" i="25"/>
  <c r="H48" i="25" s="1"/>
  <c r="AN47" i="25"/>
  <c r="C48" i="25" s="1"/>
  <c r="AQ47" i="25"/>
  <c r="F48" i="25" s="1"/>
  <c r="AJ47" i="25"/>
  <c r="J47" i="25"/>
  <c r="K47" i="25" s="1"/>
  <c r="L47" i="25" s="1"/>
  <c r="Q47" i="25"/>
  <c r="AG47" i="25"/>
  <c r="P47" i="25"/>
  <c r="AD47" i="25"/>
  <c r="AN45" i="21"/>
  <c r="E53" i="21"/>
  <c r="V53" i="21" s="1"/>
  <c r="BH42" i="23"/>
  <c r="F43" i="23" s="1"/>
  <c r="W43" i="23" s="1"/>
  <c r="BE42" i="23"/>
  <c r="C43" i="23" s="1"/>
  <c r="T43" i="23" s="1"/>
  <c r="BJ42" i="23"/>
  <c r="H43" i="23" s="1"/>
  <c r="Y43" i="23" s="1"/>
  <c r="BD42" i="23"/>
  <c r="H53" i="21"/>
  <c r="Y53" i="21" s="1"/>
  <c r="G53" i="21"/>
  <c r="X53" i="21" s="1"/>
  <c r="AO45" i="21"/>
  <c r="AP45" i="21" s="1"/>
  <c r="AO45" i="24"/>
  <c r="Z46" i="21"/>
  <c r="B47" i="21"/>
  <c r="S47" i="21" s="1"/>
  <c r="D53" i="21"/>
  <c r="U53" i="21" s="1"/>
  <c r="AT46" i="24"/>
  <c r="B47" i="24" s="1"/>
  <c r="S47" i="24" s="1"/>
  <c r="Z46" i="24"/>
  <c r="Y45" i="1"/>
  <c r="X46" i="1"/>
  <c r="AH42" i="20"/>
  <c r="BK42" i="20"/>
  <c r="AA42" i="20"/>
  <c r="AB42" i="20" s="1"/>
  <c r="AC42" i="20" s="1"/>
  <c r="BA42" i="20"/>
  <c r="AD42" i="20"/>
  <c r="AL42" i="20"/>
  <c r="AZ42" i="20"/>
  <c r="AU42" i="20"/>
  <c r="AI42" i="20"/>
  <c r="AN42" i="20"/>
  <c r="AX42" i="20"/>
  <c r="W46" i="1"/>
  <c r="I79" i="9"/>
  <c r="H27" i="8"/>
  <c r="AQ41" i="10"/>
  <c r="V47" i="1"/>
  <c r="I48" i="1"/>
  <c r="Q47" i="1"/>
  <c r="P47" i="1"/>
  <c r="J47" i="1"/>
  <c r="K47" i="1" s="1"/>
  <c r="L47" i="1" s="1"/>
  <c r="AP41" i="9"/>
  <c r="AQ41" i="12"/>
  <c r="X43" i="7"/>
  <c r="W43" i="7"/>
  <c r="AH42" i="12"/>
  <c r="S43" i="9"/>
  <c r="I43" i="9"/>
  <c r="AG42" i="9"/>
  <c r="AA42" i="9"/>
  <c r="AB42" i="9" s="1"/>
  <c r="AC42" i="9" s="1"/>
  <c r="AM42" i="9"/>
  <c r="AD42" i="9"/>
  <c r="AH42" i="9"/>
  <c r="AK42" i="9"/>
  <c r="B50" i="1"/>
  <c r="AT42" i="10"/>
  <c r="AX45" i="12"/>
  <c r="F46" i="12" s="1"/>
  <c r="W46" i="12" s="1"/>
  <c r="H48" i="9"/>
  <c r="Y48" i="9" s="1"/>
  <c r="AB44" i="7"/>
  <c r="I44" i="7"/>
  <c r="G50" i="1"/>
  <c r="AU45" i="12"/>
  <c r="C46" i="12" s="1"/>
  <c r="T46" i="12" s="1"/>
  <c r="H49" i="1"/>
  <c r="S43" i="12"/>
  <c r="I43" i="12"/>
  <c r="AZ45" i="12"/>
  <c r="H46" i="12" s="1"/>
  <c r="Y46" i="12" s="1"/>
  <c r="S43" i="10"/>
  <c r="I43" i="10"/>
  <c r="AH48" i="7"/>
  <c r="H49" i="7" s="1"/>
  <c r="F48" i="9"/>
  <c r="W48" i="9" s="1"/>
  <c r="C48" i="9"/>
  <c r="T48" i="9" s="1"/>
  <c r="AA42" i="12"/>
  <c r="AB42" i="12" s="1"/>
  <c r="AC42" i="12" s="1"/>
  <c r="AD42" i="12"/>
  <c r="BA42" i="12"/>
  <c r="BB42" i="12"/>
  <c r="BV42" i="12"/>
  <c r="AI42" i="12"/>
  <c r="BP42" i="12"/>
  <c r="AN42" i="12"/>
  <c r="BS42" i="12"/>
  <c r="BU42" i="12"/>
  <c r="AL42" i="12"/>
  <c r="AA42" i="10"/>
  <c r="AB42" i="10" s="1"/>
  <c r="AC42" i="10" s="1"/>
  <c r="BK42" i="10"/>
  <c r="AD42" i="10"/>
  <c r="BL42" i="10"/>
  <c r="BA42" i="10"/>
  <c r="AX42" i="10"/>
  <c r="AU42" i="10"/>
  <c r="AN42" i="10"/>
  <c r="AL42" i="10"/>
  <c r="AZ42" i="10"/>
  <c r="AI42" i="10"/>
  <c r="AG46" i="21" l="1"/>
  <c r="AI46" i="21"/>
  <c r="AJ46" i="21"/>
  <c r="AU44" i="4"/>
  <c r="G45" i="4"/>
  <c r="BO46" i="24"/>
  <c r="G47" i="24"/>
  <c r="X47" i="24" s="1"/>
  <c r="AY47" i="24" s="1"/>
  <c r="AH43" i="22"/>
  <c r="AX43" i="22"/>
  <c r="BK43" i="22"/>
  <c r="AN43" i="22"/>
  <c r="AL43" i="22"/>
  <c r="AZ43" i="22"/>
  <c r="BL43" i="22"/>
  <c r="AA43" i="22"/>
  <c r="AB43" i="22" s="1"/>
  <c r="AC43" i="22" s="1"/>
  <c r="AU43" i="22"/>
  <c r="AD43" i="22"/>
  <c r="BA43" i="22"/>
  <c r="AI43" i="22"/>
  <c r="I44" i="22"/>
  <c r="J44" i="22" s="1"/>
  <c r="K44" i="22" s="1"/>
  <c r="L44" i="22" s="1"/>
  <c r="S44" i="22"/>
  <c r="D50" i="1"/>
  <c r="C11" i="14"/>
  <c r="U48" i="1"/>
  <c r="Y43" i="4"/>
  <c r="E50" i="1"/>
  <c r="AQ45" i="24"/>
  <c r="AQ42" i="23"/>
  <c r="W44" i="4"/>
  <c r="X44" i="4"/>
  <c r="AP46" i="29"/>
  <c r="AA47" i="29"/>
  <c r="AB47" i="29" s="1"/>
  <c r="AC47" i="29" s="1"/>
  <c r="AD47" i="29"/>
  <c r="AK47" i="29"/>
  <c r="AM47" i="29"/>
  <c r="AH47" i="29"/>
  <c r="H56" i="29"/>
  <c r="Y56" i="29" s="1"/>
  <c r="AG47" i="29"/>
  <c r="D56" i="29"/>
  <c r="U56" i="29" s="1"/>
  <c r="E56" i="29"/>
  <c r="V56" i="29" s="1"/>
  <c r="I48" i="29"/>
  <c r="J48" i="29" s="1"/>
  <c r="K48" i="29" s="1"/>
  <c r="L48" i="29" s="1"/>
  <c r="G56" i="29"/>
  <c r="X56" i="29" s="1"/>
  <c r="R58" i="28"/>
  <c r="U58" i="28"/>
  <c r="H59" i="28"/>
  <c r="V58" i="28"/>
  <c r="G60" i="28"/>
  <c r="Y56" i="28"/>
  <c r="I59" i="28"/>
  <c r="J59" i="28" s="1"/>
  <c r="K59" i="28" s="1"/>
  <c r="L59" i="28" s="1"/>
  <c r="B60" i="28"/>
  <c r="J57" i="28"/>
  <c r="K57" i="28" s="1"/>
  <c r="L57" i="28" s="1"/>
  <c r="S57" i="28"/>
  <c r="U57" i="28"/>
  <c r="R57" i="28"/>
  <c r="P57" i="28"/>
  <c r="E60" i="28"/>
  <c r="S59" i="28"/>
  <c r="D60" i="28"/>
  <c r="V57" i="28"/>
  <c r="J58" i="28"/>
  <c r="K58" i="28" s="1"/>
  <c r="L58" i="28" s="1"/>
  <c r="S58" i="28"/>
  <c r="I43" i="26"/>
  <c r="X47" i="25"/>
  <c r="W47" i="25"/>
  <c r="I48" i="25"/>
  <c r="AD48" i="25" s="1"/>
  <c r="BB46" i="24"/>
  <c r="AD46" i="24"/>
  <c r="BA46" i="24"/>
  <c r="BV46" i="24"/>
  <c r="AA46" i="24"/>
  <c r="AB46" i="24" s="1"/>
  <c r="AC46" i="24" s="1"/>
  <c r="BS46" i="24"/>
  <c r="AI46" i="24"/>
  <c r="AL46" i="24"/>
  <c r="BU46" i="24"/>
  <c r="BP46" i="24"/>
  <c r="AN46" i="24"/>
  <c r="I47" i="21"/>
  <c r="J47" i="21" s="1"/>
  <c r="K47" i="21" s="1"/>
  <c r="L47" i="21" s="1"/>
  <c r="H54" i="21"/>
  <c r="Y54" i="21" s="1"/>
  <c r="B43" i="23"/>
  <c r="BL42" i="23"/>
  <c r="AD46" i="21"/>
  <c r="AA46" i="21"/>
  <c r="AB46" i="21" s="1"/>
  <c r="AC46" i="21" s="1"/>
  <c r="AH46" i="21"/>
  <c r="AK46" i="21"/>
  <c r="AM46" i="21"/>
  <c r="E54" i="21"/>
  <c r="V54" i="21" s="1"/>
  <c r="G54" i="21"/>
  <c r="X54" i="21" s="1"/>
  <c r="AH46" i="24"/>
  <c r="D54" i="21"/>
  <c r="U54" i="21" s="1"/>
  <c r="Y46" i="1"/>
  <c r="J43" i="9"/>
  <c r="K43" i="9" s="1"/>
  <c r="L43" i="9" s="1"/>
  <c r="AP42" i="20"/>
  <c r="BJ42" i="20"/>
  <c r="H43" i="20" s="1"/>
  <c r="Y43" i="20" s="1"/>
  <c r="BH42" i="20"/>
  <c r="F43" i="20" s="1"/>
  <c r="W43" i="20" s="1"/>
  <c r="BE42" i="20"/>
  <c r="C43" i="20" s="1"/>
  <c r="T43" i="20" s="1"/>
  <c r="BD42" i="20"/>
  <c r="AO42" i="20"/>
  <c r="J48" i="1"/>
  <c r="K48" i="1" s="1"/>
  <c r="L48" i="1" s="1"/>
  <c r="X47" i="1"/>
  <c r="V48" i="1"/>
  <c r="Q48" i="1"/>
  <c r="W47" i="1"/>
  <c r="P48" i="1"/>
  <c r="Y43" i="7"/>
  <c r="I49" i="1"/>
  <c r="C12" i="14" s="1"/>
  <c r="P44" i="7"/>
  <c r="D7" i="14"/>
  <c r="AO42" i="9"/>
  <c r="AP42" i="10"/>
  <c r="AP42" i="12"/>
  <c r="AO42" i="10"/>
  <c r="AO42" i="12"/>
  <c r="B44" i="9"/>
  <c r="Z43" i="9"/>
  <c r="AN42" i="9"/>
  <c r="H50" i="7"/>
  <c r="Z43" i="12"/>
  <c r="AH43" i="12" s="1"/>
  <c r="AT43" i="12"/>
  <c r="B44" i="12" s="1"/>
  <c r="B45" i="7"/>
  <c r="AI44" i="7"/>
  <c r="AJ44" i="7" s="1"/>
  <c r="H49" i="9"/>
  <c r="AU46" i="12"/>
  <c r="C47" i="12" s="1"/>
  <c r="T47" i="12" s="1"/>
  <c r="G50" i="7"/>
  <c r="C49" i="9"/>
  <c r="J43" i="10"/>
  <c r="K43" i="10" s="1"/>
  <c r="L43" i="10" s="1"/>
  <c r="AZ46" i="12"/>
  <c r="H47" i="12" s="1"/>
  <c r="Y47" i="12" s="1"/>
  <c r="H50" i="1"/>
  <c r="G51" i="1"/>
  <c r="G49" i="9"/>
  <c r="BD43" i="10"/>
  <c r="B44" i="10" s="1"/>
  <c r="Z43" i="10"/>
  <c r="AT43" i="10" s="1"/>
  <c r="J43" i="12"/>
  <c r="K43" i="12" s="1"/>
  <c r="L43" i="12" s="1"/>
  <c r="J44" i="7"/>
  <c r="K44" i="7" s="1"/>
  <c r="L44" i="7" s="1"/>
  <c r="Q44" i="7"/>
  <c r="T44" i="7"/>
  <c r="V44" i="7"/>
  <c r="AX46" i="12"/>
  <c r="F47" i="12" s="1"/>
  <c r="W47" i="12" s="1"/>
  <c r="B51" i="1"/>
  <c r="I45" i="4" l="1"/>
  <c r="I47" i="24"/>
  <c r="J47" i="24" s="1"/>
  <c r="K47" i="24" s="1"/>
  <c r="L47" i="24" s="1"/>
  <c r="Z44" i="22"/>
  <c r="AH44" i="22" s="1"/>
  <c r="AO43" i="22"/>
  <c r="AP43" i="22"/>
  <c r="E51" i="1"/>
  <c r="S49" i="1"/>
  <c r="R49" i="1"/>
  <c r="D51" i="1"/>
  <c r="Y44" i="4"/>
  <c r="X58" i="28"/>
  <c r="AQ42" i="20"/>
  <c r="AO46" i="21"/>
  <c r="E57" i="29"/>
  <c r="V57" i="29" s="1"/>
  <c r="AO47" i="29"/>
  <c r="AN47" i="29"/>
  <c r="G57" i="29"/>
  <c r="X57" i="29" s="1"/>
  <c r="B49" i="29"/>
  <c r="S49" i="29" s="1"/>
  <c r="Z48" i="29"/>
  <c r="AG48" i="29" s="1"/>
  <c r="H57" i="29"/>
  <c r="Y57" i="29" s="1"/>
  <c r="D57" i="29"/>
  <c r="U57" i="29" s="1"/>
  <c r="U59" i="28"/>
  <c r="W58" i="28"/>
  <c r="Y58" i="28" s="1"/>
  <c r="E61" i="28"/>
  <c r="R59" i="28"/>
  <c r="W57" i="28"/>
  <c r="X57" i="28"/>
  <c r="H60" i="28"/>
  <c r="I60" i="28" s="1"/>
  <c r="J60" i="28" s="1"/>
  <c r="V59" i="28"/>
  <c r="B61" i="28"/>
  <c r="D61" i="28"/>
  <c r="P59" i="28"/>
  <c r="G61" i="28"/>
  <c r="Z43" i="26"/>
  <c r="AT43" i="26" s="1"/>
  <c r="J43" i="26"/>
  <c r="K43" i="26" s="1"/>
  <c r="L43" i="26" s="1"/>
  <c r="P48" i="25"/>
  <c r="V48" i="25"/>
  <c r="T48" i="25"/>
  <c r="AC48" i="25"/>
  <c r="AI48" i="25"/>
  <c r="AG48" i="25"/>
  <c r="Y47" i="25"/>
  <c r="AQ48" i="25"/>
  <c r="G49" i="25" s="1"/>
  <c r="AJ48" i="25"/>
  <c r="J48" i="25"/>
  <c r="K48" i="25" s="1"/>
  <c r="L48" i="25" s="1"/>
  <c r="AN48" i="25"/>
  <c r="C49" i="25" s="1"/>
  <c r="AT48" i="25"/>
  <c r="AU48" i="25" s="1"/>
  <c r="AS48" i="25"/>
  <c r="H49" i="25" s="1"/>
  <c r="AM48" i="25"/>
  <c r="B49" i="25" s="1"/>
  <c r="Q48" i="25"/>
  <c r="AN46" i="21"/>
  <c r="S43" i="23"/>
  <c r="I43" i="23"/>
  <c r="E55" i="21"/>
  <c r="V55" i="21" s="1"/>
  <c r="D55" i="21"/>
  <c r="U55" i="21" s="1"/>
  <c r="AP46" i="24"/>
  <c r="AO46" i="24"/>
  <c r="H55" i="21"/>
  <c r="Y55" i="21" s="1"/>
  <c r="G55" i="21"/>
  <c r="X55" i="21" s="1"/>
  <c r="B48" i="21"/>
  <c r="S48" i="21" s="1"/>
  <c r="Z47" i="21"/>
  <c r="AT47" i="24"/>
  <c r="B48" i="24" s="1"/>
  <c r="S48" i="24" s="1"/>
  <c r="Z47" i="24"/>
  <c r="Y47" i="1"/>
  <c r="B43" i="20"/>
  <c r="BL42" i="20"/>
  <c r="X48" i="1"/>
  <c r="W48" i="1"/>
  <c r="J49" i="1"/>
  <c r="K49" i="1" s="1"/>
  <c r="L49" i="1" s="1"/>
  <c r="I50" i="1"/>
  <c r="C13" i="14" s="1"/>
  <c r="V49" i="1"/>
  <c r="P49" i="1"/>
  <c r="U49" i="1"/>
  <c r="AQ42" i="10"/>
  <c r="AP42" i="9"/>
  <c r="AQ42" i="12"/>
  <c r="AH43" i="10"/>
  <c r="W44" i="7"/>
  <c r="X44" i="7"/>
  <c r="X49" i="9"/>
  <c r="T49" i="9"/>
  <c r="Y49" i="9"/>
  <c r="BO43" i="12"/>
  <c r="AH43" i="9"/>
  <c r="AM43" i="9"/>
  <c r="AA43" i="9"/>
  <c r="AB43" i="9" s="1"/>
  <c r="AC43" i="9" s="1"/>
  <c r="AK43" i="9"/>
  <c r="AD43" i="9"/>
  <c r="I44" i="9"/>
  <c r="J44" i="9" s="1"/>
  <c r="K44" i="9" s="1"/>
  <c r="L44" i="9" s="1"/>
  <c r="S44" i="9"/>
  <c r="AG43" i="9"/>
  <c r="AX47" i="12"/>
  <c r="F48" i="12" s="1"/>
  <c r="W48" i="12" s="1"/>
  <c r="S44" i="10"/>
  <c r="I44" i="10"/>
  <c r="G52" i="1"/>
  <c r="AB45" i="7"/>
  <c r="I45" i="7"/>
  <c r="D8" i="14" s="1"/>
  <c r="B52" i="1"/>
  <c r="AA43" i="10"/>
  <c r="AB43" i="10" s="1"/>
  <c r="AC43" i="10" s="1"/>
  <c r="BL43" i="10"/>
  <c r="BK43" i="10"/>
  <c r="AD43" i="10"/>
  <c r="BA43" i="10"/>
  <c r="AX43" i="10"/>
  <c r="AU43" i="10"/>
  <c r="AZ43" i="10"/>
  <c r="AL43" i="10"/>
  <c r="AI43" i="10"/>
  <c r="AN43" i="10"/>
  <c r="H51" i="1"/>
  <c r="AZ47" i="12"/>
  <c r="H48" i="12" s="1"/>
  <c r="Y48" i="12" s="1"/>
  <c r="AU47" i="12"/>
  <c r="C48" i="12" s="1"/>
  <c r="T48" i="12" s="1"/>
  <c r="S44" i="12"/>
  <c r="I44" i="12"/>
  <c r="AA43" i="12"/>
  <c r="AB43" i="12" s="1"/>
  <c r="AC43" i="12" s="1"/>
  <c r="BV43" i="12"/>
  <c r="AD43" i="12"/>
  <c r="BA43" i="12"/>
  <c r="BB43" i="12"/>
  <c r="BP43" i="12"/>
  <c r="AI43" i="12"/>
  <c r="BU43" i="12"/>
  <c r="AL43" i="12"/>
  <c r="AN43" i="12"/>
  <c r="BS43" i="12"/>
  <c r="AT44" i="22" l="1"/>
  <c r="AJ47" i="21"/>
  <c r="AI47" i="21"/>
  <c r="AC45" i="4"/>
  <c r="P45" i="4"/>
  <c r="AT45" i="4"/>
  <c r="V45" i="4"/>
  <c r="AH45" i="4"/>
  <c r="AD45" i="4"/>
  <c r="B8" i="14"/>
  <c r="AJ45" i="4"/>
  <c r="AI45" i="4"/>
  <c r="Q45" i="4"/>
  <c r="J45" i="4"/>
  <c r="K45" i="4" s="1"/>
  <c r="L45" i="4" s="1"/>
  <c r="T45" i="4"/>
  <c r="AH47" i="24"/>
  <c r="G48" i="24"/>
  <c r="X48" i="24" s="1"/>
  <c r="AQ43" i="22"/>
  <c r="AZ44" i="22"/>
  <c r="AA44" i="22"/>
  <c r="AB44" i="22" s="1"/>
  <c r="AC44" i="22" s="1"/>
  <c r="AD44" i="22"/>
  <c r="AI44" i="22"/>
  <c r="AU44" i="22"/>
  <c r="AL44" i="22"/>
  <c r="BK44" i="22"/>
  <c r="BA44" i="22"/>
  <c r="AN44" i="22"/>
  <c r="R50" i="1"/>
  <c r="S50" i="1"/>
  <c r="AP46" i="21"/>
  <c r="BO47" i="24"/>
  <c r="AP47" i="29"/>
  <c r="D58" i="29"/>
  <c r="U58" i="29" s="1"/>
  <c r="I49" i="29"/>
  <c r="J49" i="29" s="1"/>
  <c r="K49" i="29" s="1"/>
  <c r="L49" i="29" s="1"/>
  <c r="H58" i="29"/>
  <c r="Y58" i="29" s="1"/>
  <c r="E58" i="29"/>
  <c r="V58" i="29" s="1"/>
  <c r="AA48" i="29"/>
  <c r="AB48" i="29" s="1"/>
  <c r="AC48" i="29" s="1"/>
  <c r="AD48" i="29"/>
  <c r="AK48" i="29"/>
  <c r="AM48" i="29"/>
  <c r="AH48" i="29"/>
  <c r="G58" i="29"/>
  <c r="X58" i="29" s="1"/>
  <c r="R60" i="28"/>
  <c r="P60" i="28"/>
  <c r="Y57" i="28"/>
  <c r="U60" i="28"/>
  <c r="D62" i="28"/>
  <c r="G62" i="28"/>
  <c r="B62" i="28"/>
  <c r="V60" i="28"/>
  <c r="H61" i="28"/>
  <c r="S60" i="28"/>
  <c r="X59" i="28"/>
  <c r="W59" i="28"/>
  <c r="I69" i="28"/>
  <c r="K60" i="28"/>
  <c r="E62" i="28"/>
  <c r="BK43" i="26"/>
  <c r="AD43" i="26"/>
  <c r="BA43" i="26"/>
  <c r="AA43" i="26"/>
  <c r="AB43" i="26" s="1"/>
  <c r="AC43" i="26" s="1"/>
  <c r="AI43" i="26"/>
  <c r="AU43" i="26"/>
  <c r="AX43" i="26"/>
  <c r="AZ43" i="26"/>
  <c r="AL43" i="26"/>
  <c r="AN43" i="26"/>
  <c r="AH43" i="26"/>
  <c r="W48" i="25"/>
  <c r="X48" i="25"/>
  <c r="I49" i="25"/>
  <c r="AH49" i="25" s="1"/>
  <c r="I48" i="24"/>
  <c r="J48" i="24" s="1"/>
  <c r="K48" i="24" s="1"/>
  <c r="L48" i="24" s="1"/>
  <c r="G56" i="21"/>
  <c r="X56" i="21" s="1"/>
  <c r="H56" i="21"/>
  <c r="Y56" i="21" s="1"/>
  <c r="D56" i="21"/>
  <c r="U56" i="21" s="1"/>
  <c r="J43" i="23"/>
  <c r="K43" i="23" s="1"/>
  <c r="L43" i="23" s="1"/>
  <c r="AD47" i="21"/>
  <c r="AA47" i="21"/>
  <c r="AB47" i="21" s="1"/>
  <c r="AC47" i="21" s="1"/>
  <c r="AK47" i="21"/>
  <c r="AM47" i="21"/>
  <c r="I48" i="21"/>
  <c r="J48" i="21" s="1"/>
  <c r="K48" i="21" s="1"/>
  <c r="L48" i="21" s="1"/>
  <c r="E56" i="21"/>
  <c r="V56" i="21" s="1"/>
  <c r="AD47" i="24"/>
  <c r="BV47" i="24"/>
  <c r="AA47" i="24"/>
  <c r="AB47" i="24" s="1"/>
  <c r="AC47" i="24" s="1"/>
  <c r="BA47" i="24"/>
  <c r="BP47" i="24"/>
  <c r="AN47" i="24"/>
  <c r="AL47" i="24"/>
  <c r="BS47" i="24"/>
  <c r="AI47" i="24"/>
  <c r="BU47" i="24"/>
  <c r="AG47" i="21"/>
  <c r="AQ46" i="24"/>
  <c r="Z43" i="23"/>
  <c r="AT43" i="23" s="1"/>
  <c r="J50" i="1"/>
  <c r="K50" i="1" s="1"/>
  <c r="L50" i="1" s="1"/>
  <c r="I43" i="20"/>
  <c r="J43" i="20" s="1"/>
  <c r="K43" i="20" s="1"/>
  <c r="L43" i="20" s="1"/>
  <c r="S43" i="20"/>
  <c r="Y48" i="1"/>
  <c r="V50" i="1"/>
  <c r="U50" i="1"/>
  <c r="P50" i="1"/>
  <c r="W49" i="1"/>
  <c r="X49" i="1"/>
  <c r="AO43" i="9"/>
  <c r="AP43" i="10"/>
  <c r="Y44" i="7"/>
  <c r="AP43" i="12"/>
  <c r="AO43" i="12"/>
  <c r="AO43" i="10"/>
  <c r="G50" i="9"/>
  <c r="X50" i="9" s="1"/>
  <c r="H50" i="9"/>
  <c r="Y50" i="9" s="1"/>
  <c r="H51" i="9" s="1"/>
  <c r="Y51" i="9" s="1"/>
  <c r="C50" i="9"/>
  <c r="T50" i="9" s="1"/>
  <c r="E51" i="9" s="1"/>
  <c r="V51" i="9" s="1"/>
  <c r="AN43" i="9"/>
  <c r="Z44" i="9"/>
  <c r="B45" i="9"/>
  <c r="Z44" i="12"/>
  <c r="BO44" i="12" s="1"/>
  <c r="AT44" i="12"/>
  <c r="B45" i="12" s="1"/>
  <c r="B53" i="1"/>
  <c r="J44" i="10"/>
  <c r="K44" i="10" s="1"/>
  <c r="L44" i="10" s="1"/>
  <c r="AX48" i="12"/>
  <c r="G49" i="12" s="1"/>
  <c r="AZ48" i="12"/>
  <c r="H49" i="12" s="1"/>
  <c r="Y49" i="12" s="1"/>
  <c r="E52" i="1"/>
  <c r="J45" i="7"/>
  <c r="K45" i="7" s="1"/>
  <c r="L45" i="7" s="1"/>
  <c r="Q45" i="7"/>
  <c r="V45" i="7"/>
  <c r="T45" i="7"/>
  <c r="Z44" i="10"/>
  <c r="AT44" i="10" s="1"/>
  <c r="I51" i="1"/>
  <c r="C14" i="14" s="1"/>
  <c r="D52" i="1"/>
  <c r="AI45" i="7"/>
  <c r="AJ45" i="7" s="1"/>
  <c r="B46" i="7"/>
  <c r="G53" i="1"/>
  <c r="J44" i="12"/>
  <c r="K44" i="12" s="1"/>
  <c r="L44" i="12" s="1"/>
  <c r="AU48" i="12"/>
  <c r="C49" i="12" s="1"/>
  <c r="T49" i="12" s="1"/>
  <c r="H52" i="1"/>
  <c r="P45" i="7"/>
  <c r="G46" i="4" l="1"/>
  <c r="AR46" i="4" s="1"/>
  <c r="H46" i="4"/>
  <c r="AS46" i="4" s="1"/>
  <c r="B46" i="4"/>
  <c r="AM46" i="4" s="1"/>
  <c r="AU45" i="4"/>
  <c r="W45" i="4"/>
  <c r="X45" i="4"/>
  <c r="H45" i="22"/>
  <c r="Y45" i="22" s="1"/>
  <c r="H46" i="22" s="1"/>
  <c r="Y46" i="22" s="1"/>
  <c r="X45" i="22"/>
  <c r="C45" i="22"/>
  <c r="T45" i="22" s="1"/>
  <c r="BB47" i="24"/>
  <c r="AO44" i="22"/>
  <c r="AP44" i="22"/>
  <c r="AP47" i="24"/>
  <c r="AN48" i="29"/>
  <c r="G59" i="29"/>
  <c r="X59" i="29" s="1"/>
  <c r="AO48" i="29"/>
  <c r="H59" i="29"/>
  <c r="Y59" i="29" s="1"/>
  <c r="E59" i="29"/>
  <c r="V59" i="29" s="1"/>
  <c r="Z49" i="29"/>
  <c r="AG49" i="29" s="1"/>
  <c r="B50" i="29"/>
  <c r="S50" i="29" s="1"/>
  <c r="D59" i="29"/>
  <c r="U59" i="29" s="1"/>
  <c r="Y59" i="28"/>
  <c r="L60" i="28"/>
  <c r="I70" i="28"/>
  <c r="X60" i="28"/>
  <c r="W60" i="28"/>
  <c r="B63" i="28"/>
  <c r="D63" i="28"/>
  <c r="H62" i="28"/>
  <c r="I62" i="28" s="1"/>
  <c r="E63" i="28"/>
  <c r="I61" i="28"/>
  <c r="V61" i="28" s="1"/>
  <c r="G63" i="28"/>
  <c r="AP43" i="26"/>
  <c r="AO43" i="26"/>
  <c r="BD43" i="26"/>
  <c r="BJ43" i="26"/>
  <c r="H44" i="26" s="1"/>
  <c r="Y44" i="26" s="1"/>
  <c r="BH43" i="26"/>
  <c r="F44" i="26" s="1"/>
  <c r="BE43" i="26"/>
  <c r="C44" i="26" s="1"/>
  <c r="Y48" i="25"/>
  <c r="V49" i="25"/>
  <c r="AC49" i="25"/>
  <c r="AD49" i="25"/>
  <c r="U49" i="25"/>
  <c r="P49" i="25"/>
  <c r="AI49" i="25"/>
  <c r="AT49" i="25"/>
  <c r="AU49" i="25" s="1"/>
  <c r="AM49" i="25"/>
  <c r="B50" i="25" s="1"/>
  <c r="AS49" i="25"/>
  <c r="H50" i="25" s="1"/>
  <c r="AN49" i="25"/>
  <c r="C50" i="25" s="1"/>
  <c r="AJ49" i="25"/>
  <c r="J49" i="25"/>
  <c r="K49" i="25" s="1"/>
  <c r="L49" i="25" s="1"/>
  <c r="AQ49" i="25"/>
  <c r="Q49" i="25"/>
  <c r="AO47" i="24"/>
  <c r="E57" i="21"/>
  <c r="V57" i="21" s="1"/>
  <c r="AD43" i="23"/>
  <c r="AA43" i="23"/>
  <c r="AB43" i="23" s="1"/>
  <c r="AC43" i="23" s="1"/>
  <c r="BA43" i="23"/>
  <c r="BK43" i="23"/>
  <c r="AI43" i="23"/>
  <c r="AU43" i="23"/>
  <c r="AX43" i="23"/>
  <c r="AL43" i="23"/>
  <c r="AZ43" i="23"/>
  <c r="AN43" i="23"/>
  <c r="B49" i="21"/>
  <c r="S49" i="21" s="1"/>
  <c r="Z48" i="21"/>
  <c r="AO47" i="21"/>
  <c r="AN47" i="21"/>
  <c r="D57" i="21"/>
  <c r="U57" i="21" s="1"/>
  <c r="H57" i="21"/>
  <c r="Y57" i="21" s="1"/>
  <c r="AH43" i="23"/>
  <c r="B49" i="24"/>
  <c r="S49" i="24" s="1"/>
  <c r="Z48" i="24"/>
  <c r="G49" i="24" s="1"/>
  <c r="X49" i="24" s="1"/>
  <c r="G57" i="21"/>
  <c r="X57" i="21" s="1"/>
  <c r="Z43" i="20"/>
  <c r="AH43" i="20" s="1"/>
  <c r="Y49" i="1"/>
  <c r="X50" i="1"/>
  <c r="W50" i="1"/>
  <c r="AP43" i="9"/>
  <c r="V51" i="1"/>
  <c r="R51" i="1"/>
  <c r="AQ43" i="10"/>
  <c r="I52" i="1"/>
  <c r="C15" i="14" s="1"/>
  <c r="AQ43" i="12"/>
  <c r="X45" i="7"/>
  <c r="W45" i="7"/>
  <c r="G51" i="9"/>
  <c r="X51" i="9" s="1"/>
  <c r="D51" i="9"/>
  <c r="U51" i="9" s="1"/>
  <c r="D52" i="9" s="1"/>
  <c r="U52" i="9" s="1"/>
  <c r="AH44" i="12"/>
  <c r="AD44" i="9"/>
  <c r="AG44" i="9"/>
  <c r="AM44" i="9"/>
  <c r="AK44" i="9"/>
  <c r="AA44" i="9"/>
  <c r="AB44" i="9" s="1"/>
  <c r="AC44" i="9" s="1"/>
  <c r="AH44" i="9"/>
  <c r="S45" i="9"/>
  <c r="I45" i="9"/>
  <c r="J45" i="9" s="1"/>
  <c r="K45" i="9" s="1"/>
  <c r="L45" i="9" s="1"/>
  <c r="E53" i="1"/>
  <c r="H53" i="1"/>
  <c r="AU49" i="12"/>
  <c r="C50" i="12" s="1"/>
  <c r="T50" i="12" s="1"/>
  <c r="AB46" i="7"/>
  <c r="I46" i="7"/>
  <c r="BK44" i="10"/>
  <c r="AD44" i="10"/>
  <c r="AA44" i="10"/>
  <c r="AB44" i="10" s="1"/>
  <c r="AC44" i="10" s="1"/>
  <c r="BA44" i="10"/>
  <c r="AX44" i="10"/>
  <c r="AN44" i="10"/>
  <c r="AL44" i="10"/>
  <c r="AZ44" i="10"/>
  <c r="AI44" i="10"/>
  <c r="AU44" i="10"/>
  <c r="AZ49" i="12"/>
  <c r="H50" i="12" s="1"/>
  <c r="Y50" i="12" s="1"/>
  <c r="H52" i="9"/>
  <c r="Y52" i="9" s="1"/>
  <c r="X49" i="12"/>
  <c r="B54" i="1"/>
  <c r="S45" i="12"/>
  <c r="I45" i="12"/>
  <c r="G54" i="1"/>
  <c r="D53" i="1"/>
  <c r="J51" i="1"/>
  <c r="K51" i="1" s="1"/>
  <c r="L51" i="1" s="1"/>
  <c r="P51" i="1"/>
  <c r="U51" i="1"/>
  <c r="E52" i="9"/>
  <c r="V52" i="9" s="1"/>
  <c r="AH44" i="10"/>
  <c r="S51" i="1"/>
  <c r="AA44" i="12"/>
  <c r="AB44" i="12" s="1"/>
  <c r="AC44" i="12" s="1"/>
  <c r="BA44" i="12"/>
  <c r="AD44" i="12"/>
  <c r="BV44" i="12"/>
  <c r="BB44" i="12"/>
  <c r="BP44" i="12"/>
  <c r="BS44" i="12"/>
  <c r="AN44" i="12"/>
  <c r="AL44" i="12"/>
  <c r="AI44" i="12"/>
  <c r="BU44" i="12"/>
  <c r="E46" i="22" l="1"/>
  <c r="V46" i="22" s="1"/>
  <c r="D46" i="22"/>
  <c r="U46" i="22" s="1"/>
  <c r="AJ48" i="21"/>
  <c r="AI48" i="21"/>
  <c r="Y45" i="4"/>
  <c r="D46" i="4"/>
  <c r="E46" i="4"/>
  <c r="AQ44" i="22"/>
  <c r="B45" i="22"/>
  <c r="BL44" i="22"/>
  <c r="G50" i="24"/>
  <c r="X50" i="24" s="1"/>
  <c r="G47" i="4"/>
  <c r="H47" i="4"/>
  <c r="B47" i="4"/>
  <c r="AQ47" i="24"/>
  <c r="AP47" i="21"/>
  <c r="AQ43" i="26"/>
  <c r="AP48" i="29"/>
  <c r="D60" i="29"/>
  <c r="U60" i="29" s="1"/>
  <c r="E60" i="29"/>
  <c r="V60" i="29" s="1"/>
  <c r="I50" i="29"/>
  <c r="J50" i="29" s="1"/>
  <c r="K50" i="29" s="1"/>
  <c r="L50" i="29" s="1"/>
  <c r="G60" i="29"/>
  <c r="X60" i="29" s="1"/>
  <c r="AA49" i="29"/>
  <c r="AB49" i="29" s="1"/>
  <c r="AC49" i="29" s="1"/>
  <c r="AD49" i="29"/>
  <c r="AL49" i="29"/>
  <c r="AM49" i="29"/>
  <c r="AH49" i="29"/>
  <c r="H60" i="29"/>
  <c r="Y60" i="29" s="1"/>
  <c r="Y60" i="28"/>
  <c r="J62" i="28"/>
  <c r="K62" i="28" s="1"/>
  <c r="L62" i="28" s="1"/>
  <c r="S62" i="28"/>
  <c r="U62" i="28"/>
  <c r="G64" i="28"/>
  <c r="G65" i="28" s="1"/>
  <c r="J61" i="28"/>
  <c r="K61" i="28" s="1"/>
  <c r="L61" i="28" s="1"/>
  <c r="U61" i="28"/>
  <c r="S61" i="28"/>
  <c r="R61" i="28"/>
  <c r="P61" i="28"/>
  <c r="H63" i="28"/>
  <c r="I63" i="28" s="1"/>
  <c r="J63" i="28" s="1"/>
  <c r="K63" i="28" s="1"/>
  <c r="L63" i="28" s="1"/>
  <c r="V62" i="28"/>
  <c r="P62" i="28"/>
  <c r="D64" i="28"/>
  <c r="D65" i="28" s="1"/>
  <c r="E64" i="28"/>
  <c r="E65" i="28" s="1"/>
  <c r="R62" i="28"/>
  <c r="B64" i="28"/>
  <c r="B65" i="28" s="1"/>
  <c r="B44" i="26"/>
  <c r="S44" i="26" s="1"/>
  <c r="BL43" i="26"/>
  <c r="X49" i="25"/>
  <c r="W49" i="25"/>
  <c r="I50" i="25"/>
  <c r="D58" i="21"/>
  <c r="U58" i="21" s="1"/>
  <c r="AP43" i="23"/>
  <c r="AO43" i="23"/>
  <c r="H58" i="21"/>
  <c r="Y58" i="21" s="1"/>
  <c r="I49" i="21"/>
  <c r="J49" i="21" s="1"/>
  <c r="K49" i="21" s="1"/>
  <c r="L49" i="21" s="1"/>
  <c r="BD43" i="23"/>
  <c r="BH43" i="23"/>
  <c r="F44" i="23" s="1"/>
  <c r="W44" i="23" s="1"/>
  <c r="BJ43" i="23"/>
  <c r="H44" i="23" s="1"/>
  <c r="Y44" i="23" s="1"/>
  <c r="BE43" i="23"/>
  <c r="C44" i="23" s="1"/>
  <c r="T44" i="23" s="1"/>
  <c r="BA48" i="24"/>
  <c r="BV48" i="24"/>
  <c r="AA48" i="24"/>
  <c r="AB48" i="24" s="1"/>
  <c r="AC48" i="24" s="1"/>
  <c r="AD48" i="24"/>
  <c r="BB48" i="24"/>
  <c r="AN48" i="24"/>
  <c r="AL48" i="24"/>
  <c r="BP48" i="24"/>
  <c r="BU48" i="24"/>
  <c r="AI48" i="24"/>
  <c r="BS48" i="24"/>
  <c r="I49" i="24"/>
  <c r="J49" i="24" s="1"/>
  <c r="K49" i="24" s="1"/>
  <c r="L49" i="24" s="1"/>
  <c r="AA48" i="21"/>
  <c r="AB48" i="21" s="1"/>
  <c r="AC48" i="21" s="1"/>
  <c r="AD48" i="21"/>
  <c r="AK48" i="21"/>
  <c r="AM48" i="21"/>
  <c r="E58" i="21"/>
  <c r="V58" i="21" s="1"/>
  <c r="G58" i="21"/>
  <c r="X58" i="21" s="1"/>
  <c r="AG48" i="21"/>
  <c r="BO48" i="24"/>
  <c r="AH48" i="24"/>
  <c r="AT43" i="20"/>
  <c r="Y50" i="1"/>
  <c r="AD43" i="20"/>
  <c r="BA43" i="20"/>
  <c r="AA43" i="20"/>
  <c r="AB43" i="20" s="1"/>
  <c r="AC43" i="20" s="1"/>
  <c r="BK43" i="20"/>
  <c r="AX43" i="20"/>
  <c r="AL43" i="20"/>
  <c r="AU43" i="20"/>
  <c r="AZ43" i="20"/>
  <c r="AN43" i="20"/>
  <c r="AI43" i="20"/>
  <c r="U52" i="1"/>
  <c r="P52" i="1"/>
  <c r="R52" i="1"/>
  <c r="V52" i="1"/>
  <c r="S52" i="1"/>
  <c r="J52" i="1"/>
  <c r="K52" i="1" s="1"/>
  <c r="L52" i="1" s="1"/>
  <c r="X51" i="1"/>
  <c r="W51" i="1"/>
  <c r="AO44" i="9"/>
  <c r="P46" i="7"/>
  <c r="D9" i="14"/>
  <c r="AP44" i="10"/>
  <c r="AP44" i="12"/>
  <c r="Y45" i="7"/>
  <c r="AO44" i="12"/>
  <c r="AO44" i="10"/>
  <c r="G52" i="9"/>
  <c r="X52" i="9" s="1"/>
  <c r="Z45" i="9"/>
  <c r="B46" i="9"/>
  <c r="AN44" i="9"/>
  <c r="E53" i="9"/>
  <c r="V53" i="9" s="1"/>
  <c r="G55" i="1"/>
  <c r="J45" i="12"/>
  <c r="K45" i="12" s="1"/>
  <c r="L45" i="12" s="1"/>
  <c r="B55" i="1"/>
  <c r="BD44" i="10"/>
  <c r="BE44" i="10"/>
  <c r="C45" i="10" s="1"/>
  <c r="T45" i="10" s="1"/>
  <c r="BH44" i="10"/>
  <c r="F45" i="10" s="1"/>
  <c r="W45" i="10" s="1"/>
  <c r="BJ44" i="10"/>
  <c r="H45" i="10" s="1"/>
  <c r="Y45" i="10" s="1"/>
  <c r="D53" i="9"/>
  <c r="U53" i="9" s="1"/>
  <c r="Z45" i="12"/>
  <c r="AH45" i="12" s="1"/>
  <c r="AT45" i="12"/>
  <c r="B46" i="12" s="1"/>
  <c r="AZ50" i="12"/>
  <c r="H51" i="12" s="1"/>
  <c r="Y51" i="12" s="1"/>
  <c r="AI46" i="7"/>
  <c r="AJ46" i="7" s="1"/>
  <c r="B47" i="7"/>
  <c r="AU50" i="12"/>
  <c r="D54" i="1"/>
  <c r="I53" i="1"/>
  <c r="C16" i="14" s="1"/>
  <c r="H54" i="1"/>
  <c r="E54" i="1"/>
  <c r="AY49" i="12"/>
  <c r="G50" i="12" s="1"/>
  <c r="H53" i="9"/>
  <c r="Y53" i="9" s="1"/>
  <c r="J46" i="7"/>
  <c r="K46" i="7" s="1"/>
  <c r="L46" i="7" s="1"/>
  <c r="Q46" i="7"/>
  <c r="T46" i="7"/>
  <c r="V46" i="7"/>
  <c r="D47" i="22" l="1"/>
  <c r="U47" i="22" s="1"/>
  <c r="BF47" i="22" s="1"/>
  <c r="E47" i="22"/>
  <c r="V47" i="22" s="1"/>
  <c r="BG47" i="22" s="1"/>
  <c r="G46" i="22"/>
  <c r="X46" i="22" s="1"/>
  <c r="I46" i="4"/>
  <c r="AF46" i="4" s="1"/>
  <c r="I45" i="22"/>
  <c r="J45" i="22" s="1"/>
  <c r="K45" i="22" s="1"/>
  <c r="L45" i="22" s="1"/>
  <c r="S45" i="22"/>
  <c r="AQ43" i="23"/>
  <c r="AO49" i="29"/>
  <c r="H61" i="29"/>
  <c r="Y61" i="29" s="1"/>
  <c r="E61" i="29"/>
  <c r="V61" i="29" s="1"/>
  <c r="G61" i="29"/>
  <c r="X61" i="29" s="1"/>
  <c r="AN49" i="29"/>
  <c r="Z50" i="29"/>
  <c r="B51" i="29"/>
  <c r="S51" i="29" s="1"/>
  <c r="D61" i="29"/>
  <c r="U61" i="29" s="1"/>
  <c r="H64" i="28"/>
  <c r="V63" i="28"/>
  <c r="W61" i="28"/>
  <c r="X61" i="28"/>
  <c r="P63" i="28"/>
  <c r="S63" i="28"/>
  <c r="X62" i="28"/>
  <c r="W62" i="28"/>
  <c r="R63" i="28"/>
  <c r="U63" i="28"/>
  <c r="I44" i="26"/>
  <c r="Y49" i="25"/>
  <c r="AR50" i="25"/>
  <c r="G51" i="25" s="1"/>
  <c r="AJ50" i="25"/>
  <c r="J50" i="25"/>
  <c r="K50" i="25" s="1"/>
  <c r="L50" i="25" s="1"/>
  <c r="AN50" i="25"/>
  <c r="AS50" i="25"/>
  <c r="H51" i="25" s="1"/>
  <c r="U50" i="25"/>
  <c r="AM50" i="25"/>
  <c r="B51" i="25" s="1"/>
  <c r="AT50" i="25"/>
  <c r="AU50" i="25" s="1"/>
  <c r="AH50" i="25"/>
  <c r="P50" i="25"/>
  <c r="V50" i="25"/>
  <c r="AC50" i="25"/>
  <c r="AD50" i="25"/>
  <c r="AI50" i="25"/>
  <c r="Q50" i="25"/>
  <c r="G59" i="21"/>
  <c r="X59" i="21" s="1"/>
  <c r="B44" i="23"/>
  <c r="BL43" i="23"/>
  <c r="E59" i="21"/>
  <c r="V59" i="21" s="1"/>
  <c r="AO48" i="24"/>
  <c r="AP48" i="24"/>
  <c r="AO48" i="21"/>
  <c r="AN48" i="21"/>
  <c r="Z49" i="24"/>
  <c r="B50" i="24"/>
  <c r="S50" i="24" s="1"/>
  <c r="H59" i="21"/>
  <c r="Y59" i="21" s="1"/>
  <c r="B50" i="21"/>
  <c r="S50" i="21" s="1"/>
  <c r="Z49" i="21"/>
  <c r="D59" i="21"/>
  <c r="U59" i="21" s="1"/>
  <c r="AP43" i="20"/>
  <c r="BD43" i="20"/>
  <c r="BJ43" i="20"/>
  <c r="H44" i="20" s="1"/>
  <c r="Y44" i="20" s="1"/>
  <c r="BH43" i="20"/>
  <c r="F44" i="20" s="1"/>
  <c r="W44" i="20" s="1"/>
  <c r="BE43" i="20"/>
  <c r="C44" i="20" s="1"/>
  <c r="T44" i="20" s="1"/>
  <c r="AO43" i="20"/>
  <c r="X52" i="1"/>
  <c r="W52" i="1"/>
  <c r="Y51" i="1"/>
  <c r="V53" i="1"/>
  <c r="AP44" i="9"/>
  <c r="AQ44" i="10"/>
  <c r="AQ44" i="12"/>
  <c r="X46" i="7"/>
  <c r="W46" i="7"/>
  <c r="G53" i="9"/>
  <c r="X53" i="9" s="1"/>
  <c r="S46" i="9"/>
  <c r="I46" i="9"/>
  <c r="J46" i="9" s="1"/>
  <c r="K46" i="9" s="1"/>
  <c r="L46" i="9" s="1"/>
  <c r="AD45" i="9"/>
  <c r="AK45" i="9"/>
  <c r="AH45" i="9"/>
  <c r="AA45" i="9"/>
  <c r="AB45" i="9" s="1"/>
  <c r="AC45" i="9" s="1"/>
  <c r="AM45" i="9"/>
  <c r="AG45" i="9"/>
  <c r="H54" i="9"/>
  <c r="Y54" i="9" s="1"/>
  <c r="H55" i="1"/>
  <c r="J53" i="1"/>
  <c r="K53" i="1" s="1"/>
  <c r="L53" i="1" s="1"/>
  <c r="P53" i="1"/>
  <c r="U53" i="1"/>
  <c r="I47" i="7"/>
  <c r="AB47" i="7"/>
  <c r="AZ51" i="12"/>
  <c r="H52" i="12" s="1"/>
  <c r="Y52" i="12" s="1"/>
  <c r="BO45" i="12"/>
  <c r="BE45" i="10"/>
  <c r="C46" i="10" s="1"/>
  <c r="T46" i="10" s="1"/>
  <c r="B56" i="1"/>
  <c r="E55" i="1"/>
  <c r="D55" i="1"/>
  <c r="D54" i="9"/>
  <c r="U54" i="9" s="1"/>
  <c r="B45" i="10"/>
  <c r="BL44" i="10"/>
  <c r="X50" i="12"/>
  <c r="S53" i="1"/>
  <c r="R53" i="1"/>
  <c r="S46" i="12"/>
  <c r="I46" i="12"/>
  <c r="BJ45" i="10"/>
  <c r="H46" i="10" s="1"/>
  <c r="Y46" i="10" s="1"/>
  <c r="I54" i="1"/>
  <c r="E54" i="9"/>
  <c r="V54" i="9" s="1"/>
  <c r="D51" i="12"/>
  <c r="U51" i="12" s="1"/>
  <c r="E51" i="12"/>
  <c r="V51" i="12" s="1"/>
  <c r="AA45" i="12"/>
  <c r="AB45" i="12" s="1"/>
  <c r="AC45" i="12" s="1"/>
  <c r="AD45" i="12"/>
  <c r="BB45" i="12"/>
  <c r="BA45" i="12"/>
  <c r="BV45" i="12"/>
  <c r="AI45" i="12"/>
  <c r="AL45" i="12"/>
  <c r="BS45" i="12"/>
  <c r="BU45" i="12"/>
  <c r="BP45" i="12"/>
  <c r="AN45" i="12"/>
  <c r="BH45" i="10"/>
  <c r="F46" i="10" s="1"/>
  <c r="W46" i="10" s="1"/>
  <c r="G56" i="1"/>
  <c r="AH49" i="24" l="1"/>
  <c r="H50" i="24"/>
  <c r="Y50" i="24" s="1"/>
  <c r="AJ49" i="21"/>
  <c r="AI49" i="21"/>
  <c r="AE46" i="4"/>
  <c r="AH46" i="4"/>
  <c r="J46" i="4"/>
  <c r="K46" i="4" s="1"/>
  <c r="L46" i="4" s="1"/>
  <c r="AJ46" i="4"/>
  <c r="T46" i="4"/>
  <c r="AT46" i="4"/>
  <c r="Q46" i="4"/>
  <c r="AI46" i="4"/>
  <c r="B9" i="14"/>
  <c r="P46" i="4"/>
  <c r="V46" i="4"/>
  <c r="AC46" i="4"/>
  <c r="Z45" i="22"/>
  <c r="AH45" i="22" s="1"/>
  <c r="AP49" i="29"/>
  <c r="I64" i="28"/>
  <c r="U64" i="28" s="1"/>
  <c r="H65" i="28"/>
  <c r="Y52" i="1"/>
  <c r="AP48" i="21"/>
  <c r="AD50" i="29"/>
  <c r="AA50" i="29"/>
  <c r="AB50" i="29" s="1"/>
  <c r="AC50" i="29" s="1"/>
  <c r="AL50" i="29"/>
  <c r="AH50" i="29"/>
  <c r="AM50" i="29"/>
  <c r="E62" i="29"/>
  <c r="V62" i="29" s="1"/>
  <c r="D62" i="29"/>
  <c r="U62" i="29" s="1"/>
  <c r="AG50" i="29"/>
  <c r="I51" i="29"/>
  <c r="J51" i="29" s="1"/>
  <c r="K51" i="29" s="1"/>
  <c r="L51" i="29" s="1"/>
  <c r="G62" i="29"/>
  <c r="X62" i="29" s="1"/>
  <c r="H62" i="29"/>
  <c r="Y62" i="29" s="1"/>
  <c r="Y62" i="28"/>
  <c r="X63" i="28"/>
  <c r="W63" i="28"/>
  <c r="P64" i="28"/>
  <c r="Y61" i="28"/>
  <c r="J44" i="26"/>
  <c r="K44" i="26" s="1"/>
  <c r="L44" i="26" s="1"/>
  <c r="Z44" i="26"/>
  <c r="AH44" i="26" s="1"/>
  <c r="D51" i="25"/>
  <c r="E51" i="25"/>
  <c r="W50" i="25"/>
  <c r="X50" i="25"/>
  <c r="BO49" i="24"/>
  <c r="H60" i="21"/>
  <c r="Y60" i="21" s="1"/>
  <c r="I50" i="21"/>
  <c r="J50" i="21" s="1"/>
  <c r="K50" i="21" s="1"/>
  <c r="L50" i="21" s="1"/>
  <c r="I44" i="23"/>
  <c r="S44" i="23"/>
  <c r="BA49" i="24"/>
  <c r="BV49" i="24"/>
  <c r="AD49" i="24"/>
  <c r="BB49" i="24"/>
  <c r="AA49" i="24"/>
  <c r="AB49" i="24" s="1"/>
  <c r="AC49" i="24" s="1"/>
  <c r="BU49" i="24"/>
  <c r="AN49" i="24"/>
  <c r="AI49" i="24"/>
  <c r="BP49" i="24"/>
  <c r="AM49" i="24"/>
  <c r="BT49" i="24"/>
  <c r="AQ48" i="24"/>
  <c r="AA49" i="21"/>
  <c r="AB49" i="21" s="1"/>
  <c r="AC49" i="21" s="1"/>
  <c r="AD49" i="21"/>
  <c r="AL49" i="21"/>
  <c r="AM49" i="21"/>
  <c r="G60" i="21"/>
  <c r="X60" i="21" s="1"/>
  <c r="I50" i="24"/>
  <c r="J50" i="24" s="1"/>
  <c r="K50" i="24" s="1"/>
  <c r="L50" i="24" s="1"/>
  <c r="D60" i="21"/>
  <c r="U60" i="21" s="1"/>
  <c r="E60" i="21"/>
  <c r="V60" i="21" s="1"/>
  <c r="AG49" i="21"/>
  <c r="AQ43" i="20"/>
  <c r="B44" i="20"/>
  <c r="BL43" i="20"/>
  <c r="AO45" i="9"/>
  <c r="X53" i="1"/>
  <c r="W53" i="1"/>
  <c r="S54" i="1"/>
  <c r="C17" i="14"/>
  <c r="Y46" i="7"/>
  <c r="P47" i="7"/>
  <c r="D10" i="14"/>
  <c r="AP45" i="12"/>
  <c r="AO45" i="12"/>
  <c r="G54" i="9"/>
  <c r="X54" i="9" s="1"/>
  <c r="AN45" i="9"/>
  <c r="B47" i="9"/>
  <c r="Z46" i="9"/>
  <c r="B57" i="1"/>
  <c r="BJ46" i="10"/>
  <c r="H47" i="10" s="1"/>
  <c r="Y47" i="10" s="1"/>
  <c r="AY50" i="12"/>
  <c r="G51" i="12" s="1"/>
  <c r="D55" i="9"/>
  <c r="U55" i="9" s="1"/>
  <c r="E56" i="1"/>
  <c r="J47" i="7"/>
  <c r="K47" i="7" s="1"/>
  <c r="L47" i="7" s="1"/>
  <c r="Q47" i="7"/>
  <c r="T47" i="7"/>
  <c r="V47" i="7"/>
  <c r="H55" i="9"/>
  <c r="Y55" i="9" s="1"/>
  <c r="BH46" i="10"/>
  <c r="F47" i="10" s="1"/>
  <c r="W47" i="10" s="1"/>
  <c r="AW51" i="12"/>
  <c r="E52" i="12" s="1"/>
  <c r="V52" i="12" s="1"/>
  <c r="E55" i="9"/>
  <c r="V55" i="9" s="1"/>
  <c r="G57" i="1"/>
  <c r="AV51" i="12"/>
  <c r="D52" i="12" s="1"/>
  <c r="U52" i="12" s="1"/>
  <c r="J54" i="1"/>
  <c r="K54" i="1" s="1"/>
  <c r="L54" i="1" s="1"/>
  <c r="P54" i="1"/>
  <c r="U54" i="1"/>
  <c r="J46" i="12"/>
  <c r="K46" i="12" s="1"/>
  <c r="L46" i="12" s="1"/>
  <c r="R54" i="1"/>
  <c r="AZ52" i="12"/>
  <c r="H53" i="12" s="1"/>
  <c r="Y53" i="12" s="1"/>
  <c r="V54" i="1"/>
  <c r="AT46" i="12"/>
  <c r="B47" i="12" s="1"/>
  <c r="Z46" i="12"/>
  <c r="AH46" i="12" s="1"/>
  <c r="S45" i="10"/>
  <c r="I45" i="10"/>
  <c r="D56" i="1"/>
  <c r="I55" i="1"/>
  <c r="C18" i="14" s="1"/>
  <c r="BE46" i="10"/>
  <c r="C47" i="10" s="1"/>
  <c r="T47" i="10" s="1"/>
  <c r="B48" i="7"/>
  <c r="AI47" i="7"/>
  <c r="AJ47" i="7" s="1"/>
  <c r="H56" i="1"/>
  <c r="X46" i="4" l="1"/>
  <c r="W46" i="4"/>
  <c r="AU46" i="4"/>
  <c r="AO46" i="4"/>
  <c r="D47" i="4" s="1"/>
  <c r="AP46" i="4"/>
  <c r="E47" i="4" s="1"/>
  <c r="S64" i="28"/>
  <c r="V64" i="28"/>
  <c r="AT45" i="22"/>
  <c r="AY45" i="22"/>
  <c r="BA45" i="22"/>
  <c r="AD45" i="22"/>
  <c r="AZ45" i="22"/>
  <c r="AN45" i="22"/>
  <c r="AL45" i="22"/>
  <c r="BK45" i="22"/>
  <c r="AU45" i="22"/>
  <c r="AA45" i="22"/>
  <c r="AB45" i="22" s="1"/>
  <c r="AC45" i="22" s="1"/>
  <c r="AI45" i="22"/>
  <c r="AP45" i="22" s="1"/>
  <c r="B46" i="22"/>
  <c r="S46" i="22" s="1"/>
  <c r="BL45" i="22"/>
  <c r="AP45" i="9"/>
  <c r="R64" i="28"/>
  <c r="X64" i="28" s="1"/>
  <c r="J64" i="28"/>
  <c r="K64" i="28" s="1"/>
  <c r="L64" i="28" s="1"/>
  <c r="Z51" i="29"/>
  <c r="AG51" i="29" s="1"/>
  <c r="B52" i="29"/>
  <c r="S52" i="29" s="1"/>
  <c r="D63" i="29"/>
  <c r="U63" i="29" s="1"/>
  <c r="H63" i="29"/>
  <c r="Y63" i="29" s="1"/>
  <c r="E63" i="29"/>
  <c r="V63" i="29" s="1"/>
  <c r="AO50" i="29"/>
  <c r="AN50" i="29"/>
  <c r="G63" i="29"/>
  <c r="X63" i="29" s="1"/>
  <c r="Y63" i="28"/>
  <c r="W64" i="28"/>
  <c r="BA44" i="26"/>
  <c r="AA44" i="26"/>
  <c r="AB44" i="26" s="1"/>
  <c r="AC44" i="26" s="1"/>
  <c r="BK44" i="26"/>
  <c r="AD44" i="26"/>
  <c r="AZ44" i="26"/>
  <c r="AN44" i="26"/>
  <c r="AI44" i="26"/>
  <c r="AX44" i="26"/>
  <c r="AL44" i="26"/>
  <c r="AU44" i="26"/>
  <c r="AT44" i="26"/>
  <c r="I51" i="25"/>
  <c r="AT51" i="25" s="1"/>
  <c r="AU51" i="25" s="1"/>
  <c r="Y50" i="25"/>
  <c r="AO49" i="24"/>
  <c r="B51" i="21"/>
  <c r="Z50" i="21"/>
  <c r="G61" i="21"/>
  <c r="X61" i="21" s="1"/>
  <c r="H61" i="21"/>
  <c r="Y61" i="21" s="1"/>
  <c r="AO49" i="21"/>
  <c r="AN49" i="21"/>
  <c r="J44" i="23"/>
  <c r="K44" i="23" s="1"/>
  <c r="L44" i="23" s="1"/>
  <c r="Z50" i="24"/>
  <c r="E61" i="21"/>
  <c r="V61" i="21" s="1"/>
  <c r="AP49" i="24"/>
  <c r="D61" i="21"/>
  <c r="U61" i="21" s="1"/>
  <c r="Z44" i="23"/>
  <c r="AT44" i="23" s="1"/>
  <c r="I44" i="20"/>
  <c r="J44" i="20" s="1"/>
  <c r="K44" i="20" s="1"/>
  <c r="L44" i="20" s="1"/>
  <c r="S44" i="20"/>
  <c r="I56" i="1"/>
  <c r="C19" i="14" s="1"/>
  <c r="R55" i="1"/>
  <c r="V55" i="1"/>
  <c r="Y53" i="1"/>
  <c r="X54" i="1"/>
  <c r="W54" i="1"/>
  <c r="AQ45" i="12"/>
  <c r="X47" i="7"/>
  <c r="W47" i="7"/>
  <c r="G55" i="9"/>
  <c r="X55" i="9" s="1"/>
  <c r="BO46" i="12"/>
  <c r="AK46" i="9"/>
  <c r="AA46" i="9"/>
  <c r="AB46" i="9" s="1"/>
  <c r="AC46" i="9" s="1"/>
  <c r="AD46" i="9"/>
  <c r="AH46" i="9"/>
  <c r="AM46" i="9"/>
  <c r="S47" i="9"/>
  <c r="I47" i="9"/>
  <c r="J47" i="9" s="1"/>
  <c r="K47" i="9" s="1"/>
  <c r="L47" i="9" s="1"/>
  <c r="AG46" i="9"/>
  <c r="BD45" i="10"/>
  <c r="B46" i="10" s="1"/>
  <c r="Z45" i="10"/>
  <c r="AT45" i="10" s="1"/>
  <c r="AV52" i="12"/>
  <c r="D53" i="12" s="1"/>
  <c r="U53" i="12" s="1"/>
  <c r="E56" i="9"/>
  <c r="V56" i="9" s="1"/>
  <c r="H56" i="9"/>
  <c r="Y56" i="9" s="1"/>
  <c r="I48" i="7"/>
  <c r="AB48" i="7"/>
  <c r="G58" i="1"/>
  <c r="E57" i="1"/>
  <c r="X51" i="12"/>
  <c r="B58" i="1"/>
  <c r="BE47" i="10"/>
  <c r="C48" i="10" s="1"/>
  <c r="T48" i="10" s="1"/>
  <c r="AZ53" i="12"/>
  <c r="H54" i="12" s="1"/>
  <c r="Y54" i="12" s="1"/>
  <c r="H57" i="1"/>
  <c r="J55" i="1"/>
  <c r="K55" i="1" s="1"/>
  <c r="L55" i="1" s="1"/>
  <c r="P55" i="1"/>
  <c r="U55" i="1"/>
  <c r="J45" i="10"/>
  <c r="K45" i="10" s="1"/>
  <c r="L45" i="10" s="1"/>
  <c r="AA46" i="12"/>
  <c r="AB46" i="12" s="1"/>
  <c r="AC46" i="12" s="1"/>
  <c r="BB46" i="12"/>
  <c r="BV46" i="12"/>
  <c r="AD46" i="12"/>
  <c r="BA46" i="12"/>
  <c r="BS46" i="12"/>
  <c r="AL46" i="12"/>
  <c r="AI46" i="12"/>
  <c r="BU46" i="12"/>
  <c r="BP46" i="12"/>
  <c r="AN46" i="12"/>
  <c r="BH47" i="10"/>
  <c r="F48" i="10" s="1"/>
  <c r="W48" i="10" s="1"/>
  <c r="S55" i="1"/>
  <c r="BJ47" i="10"/>
  <c r="H48" i="10" s="1"/>
  <c r="Y48" i="10" s="1"/>
  <c r="D57" i="1"/>
  <c r="S47" i="12"/>
  <c r="I47" i="12"/>
  <c r="AW52" i="12"/>
  <c r="E53" i="12" s="1"/>
  <c r="V53" i="12" s="1"/>
  <c r="D56" i="9"/>
  <c r="U56" i="9" s="1"/>
  <c r="E51" i="24" l="1"/>
  <c r="V51" i="24" s="1"/>
  <c r="AW51" i="24" s="1"/>
  <c r="B51" i="24"/>
  <c r="G51" i="24"/>
  <c r="X51" i="24" s="1"/>
  <c r="AY51" i="24" s="1"/>
  <c r="D51" i="24"/>
  <c r="U51" i="24" s="1"/>
  <c r="AV51" i="24" s="1"/>
  <c r="AO45" i="22"/>
  <c r="AQ45" i="22" s="1"/>
  <c r="AG50" i="21"/>
  <c r="AI50" i="21"/>
  <c r="AJ50" i="21"/>
  <c r="Y46" i="4"/>
  <c r="D48" i="4"/>
  <c r="I47" i="4"/>
  <c r="AE47" i="4" s="1"/>
  <c r="I46" i="22"/>
  <c r="J46" i="22" s="1"/>
  <c r="K46" i="22" s="1"/>
  <c r="L46" i="22" s="1"/>
  <c r="E48" i="4"/>
  <c r="BO50" i="24"/>
  <c r="H51" i="24"/>
  <c r="Y51" i="24" s="1"/>
  <c r="AZ51" i="24" s="1"/>
  <c r="AQ49" i="24"/>
  <c r="Y64" i="28"/>
  <c r="AP50" i="29"/>
  <c r="G64" i="29"/>
  <c r="X64" i="29" s="1"/>
  <c r="D64" i="29"/>
  <c r="U64" i="29" s="1"/>
  <c r="H64" i="29"/>
  <c r="Y64" i="29" s="1"/>
  <c r="I52" i="29"/>
  <c r="J52" i="29" s="1"/>
  <c r="K52" i="29" s="1"/>
  <c r="L52" i="29" s="1"/>
  <c r="E64" i="29"/>
  <c r="V64" i="29" s="1"/>
  <c r="AA51" i="29"/>
  <c r="AB51" i="29" s="1"/>
  <c r="AC51" i="29" s="1"/>
  <c r="AD51" i="29"/>
  <c r="AI51" i="29"/>
  <c r="AJ51" i="29"/>
  <c r="AL51" i="29"/>
  <c r="AM51" i="29"/>
  <c r="AP44" i="26"/>
  <c r="AO44" i="26"/>
  <c r="BH44" i="26"/>
  <c r="F45" i="26" s="1"/>
  <c r="BE44" i="26"/>
  <c r="C45" i="26" s="1"/>
  <c r="BD44" i="26"/>
  <c r="BJ44" i="26"/>
  <c r="H45" i="26" s="1"/>
  <c r="Y45" i="26" s="1"/>
  <c r="AR51" i="25"/>
  <c r="G52" i="25" s="1"/>
  <c r="S51" i="25"/>
  <c r="U51" i="25"/>
  <c r="AE51" i="25"/>
  <c r="V51" i="25"/>
  <c r="AC51" i="25"/>
  <c r="AP51" i="25"/>
  <c r="E52" i="25" s="1"/>
  <c r="R51" i="25"/>
  <c r="AI51" i="25"/>
  <c r="AH51" i="25"/>
  <c r="J51" i="25"/>
  <c r="K51" i="25" s="1"/>
  <c r="L51" i="25" s="1"/>
  <c r="AF51" i="25"/>
  <c r="P51" i="25"/>
  <c r="AJ51" i="25"/>
  <c r="AM51" i="25"/>
  <c r="B52" i="25" s="1"/>
  <c r="AS51" i="25"/>
  <c r="H52" i="25" s="1"/>
  <c r="AO51" i="25"/>
  <c r="D52" i="25" s="1"/>
  <c r="AH50" i="24"/>
  <c r="AP49" i="21"/>
  <c r="H62" i="21"/>
  <c r="Y62" i="21" s="1"/>
  <c r="E62" i="21"/>
  <c r="V62" i="21" s="1"/>
  <c r="I51" i="21"/>
  <c r="J51" i="21" s="1"/>
  <c r="K51" i="21" s="1"/>
  <c r="L51" i="21" s="1"/>
  <c r="S51" i="21"/>
  <c r="AD44" i="23"/>
  <c r="AA44" i="23"/>
  <c r="AB44" i="23" s="1"/>
  <c r="AC44" i="23" s="1"/>
  <c r="BA44" i="23"/>
  <c r="BK44" i="23"/>
  <c r="AX44" i="23"/>
  <c r="AZ44" i="23"/>
  <c r="AL44" i="23"/>
  <c r="AN44" i="23"/>
  <c r="AU44" i="23"/>
  <c r="AI44" i="23"/>
  <c r="BA50" i="24"/>
  <c r="AD50" i="24"/>
  <c r="BV50" i="24"/>
  <c r="AA50" i="24"/>
  <c r="AB50" i="24" s="1"/>
  <c r="AC50" i="24" s="1"/>
  <c r="AN50" i="24"/>
  <c r="BP50" i="24"/>
  <c r="BU50" i="24"/>
  <c r="AM50" i="24"/>
  <c r="AI50" i="24"/>
  <c r="BT50" i="24"/>
  <c r="G62" i="21"/>
  <c r="X62" i="21" s="1"/>
  <c r="AH44" i="23"/>
  <c r="D62" i="21"/>
  <c r="U62" i="21" s="1"/>
  <c r="AD50" i="21"/>
  <c r="AA50" i="21"/>
  <c r="AB50" i="21" s="1"/>
  <c r="AC50" i="21" s="1"/>
  <c r="AL50" i="21"/>
  <c r="AM50" i="21"/>
  <c r="Z44" i="20"/>
  <c r="AT44" i="20" s="1"/>
  <c r="P56" i="1"/>
  <c r="V56" i="1"/>
  <c r="S56" i="1"/>
  <c r="J56" i="1"/>
  <c r="K56" i="1" s="1"/>
  <c r="L56" i="1" s="1"/>
  <c r="R56" i="1"/>
  <c r="U56" i="1"/>
  <c r="AO46" i="9"/>
  <c r="Y54" i="1"/>
  <c r="P48" i="7"/>
  <c r="D11" i="14"/>
  <c r="X55" i="1"/>
  <c r="W55" i="1"/>
  <c r="AP46" i="12"/>
  <c r="Y47" i="7"/>
  <c r="AO46" i="12"/>
  <c r="G56" i="9"/>
  <c r="X56" i="9" s="1"/>
  <c r="AN46" i="9"/>
  <c r="AH45" i="10"/>
  <c r="Z47" i="9"/>
  <c r="B48" i="9"/>
  <c r="AW53" i="12"/>
  <c r="E54" i="12" s="1"/>
  <c r="V54" i="12" s="1"/>
  <c r="D58" i="1"/>
  <c r="H58" i="1"/>
  <c r="E58" i="1"/>
  <c r="H57" i="9"/>
  <c r="Y57" i="9" s="1"/>
  <c r="AY51" i="12"/>
  <c r="G52" i="12" s="1"/>
  <c r="J48" i="7"/>
  <c r="K48" i="7" s="1"/>
  <c r="L48" i="7" s="1"/>
  <c r="Q48" i="7"/>
  <c r="V48" i="7"/>
  <c r="T48" i="7"/>
  <c r="AV53" i="12"/>
  <c r="D54" i="12" s="1"/>
  <c r="U54" i="12" s="1"/>
  <c r="J47" i="12"/>
  <c r="K47" i="12" s="1"/>
  <c r="L47" i="12" s="1"/>
  <c r="D57" i="9"/>
  <c r="U57" i="9" s="1"/>
  <c r="Z47" i="12"/>
  <c r="AH47" i="12" s="1"/>
  <c r="AT47" i="12"/>
  <c r="B48" i="12" s="1"/>
  <c r="I57" i="1"/>
  <c r="G59" i="1"/>
  <c r="E57" i="9"/>
  <c r="V57" i="9" s="1"/>
  <c r="BA45" i="10"/>
  <c r="BL45" i="10"/>
  <c r="BK45" i="10"/>
  <c r="AA45" i="10"/>
  <c r="AB45" i="10" s="1"/>
  <c r="AC45" i="10" s="1"/>
  <c r="AD45" i="10"/>
  <c r="AZ45" i="10"/>
  <c r="AL45" i="10"/>
  <c r="AU45" i="10"/>
  <c r="AI45" i="10"/>
  <c r="AN45" i="10"/>
  <c r="AX45" i="10"/>
  <c r="B59" i="1"/>
  <c r="B49" i="7"/>
  <c r="AI48" i="7"/>
  <c r="AJ48" i="7" s="1"/>
  <c r="S46" i="10"/>
  <c r="I46" i="10"/>
  <c r="I51" i="24" l="1"/>
  <c r="J51" i="24" s="1"/>
  <c r="K51" i="24" s="1"/>
  <c r="L51" i="24" s="1"/>
  <c r="S51" i="24"/>
  <c r="BB50" i="24"/>
  <c r="AH47" i="4"/>
  <c r="AT47" i="4"/>
  <c r="P47" i="4"/>
  <c r="AF47" i="4"/>
  <c r="B10" i="14"/>
  <c r="Q47" i="4"/>
  <c r="V47" i="4"/>
  <c r="AC47" i="4"/>
  <c r="AI47" i="4"/>
  <c r="AJ47" i="4"/>
  <c r="J47" i="4"/>
  <c r="K47" i="4" s="1"/>
  <c r="L47" i="4" s="1"/>
  <c r="T47" i="4"/>
  <c r="AP48" i="4"/>
  <c r="E49" i="4" s="1"/>
  <c r="Z46" i="22"/>
  <c r="AO48" i="4"/>
  <c r="D49" i="4" s="1"/>
  <c r="X65" i="29"/>
  <c r="G65" i="29"/>
  <c r="Y65" i="29"/>
  <c r="H65" i="29"/>
  <c r="E65" i="29"/>
  <c r="V65" i="29"/>
  <c r="U65" i="29"/>
  <c r="D65" i="29"/>
  <c r="AQ44" i="26"/>
  <c r="AO51" i="29"/>
  <c r="Z52" i="29"/>
  <c r="B53" i="29"/>
  <c r="S53" i="29" s="1"/>
  <c r="AN51" i="29"/>
  <c r="B45" i="26"/>
  <c r="S45" i="26" s="1"/>
  <c r="BL44" i="26"/>
  <c r="W51" i="25"/>
  <c r="X51" i="25"/>
  <c r="I52" i="25"/>
  <c r="P52" i="25" s="1"/>
  <c r="AP50" i="24"/>
  <c r="AN50" i="21"/>
  <c r="AO50" i="24"/>
  <c r="AO50" i="21"/>
  <c r="D63" i="21"/>
  <c r="U63" i="21" s="1"/>
  <c r="E63" i="21"/>
  <c r="V63" i="21" s="1"/>
  <c r="G63" i="21"/>
  <c r="X63" i="21" s="1"/>
  <c r="AO44" i="23"/>
  <c r="AP44" i="23"/>
  <c r="BE44" i="23"/>
  <c r="C45" i="23" s="1"/>
  <c r="T45" i="23" s="1"/>
  <c r="BJ44" i="23"/>
  <c r="H45" i="23" s="1"/>
  <c r="Y45" i="23" s="1"/>
  <c r="G45" i="23"/>
  <c r="X45" i="23" s="1"/>
  <c r="BD44" i="23"/>
  <c r="Z51" i="21"/>
  <c r="AG51" i="21" s="1"/>
  <c r="B52" i="21"/>
  <c r="H63" i="21"/>
  <c r="Y63" i="21" s="1"/>
  <c r="X56" i="1"/>
  <c r="AH44" i="20"/>
  <c r="AD44" i="20"/>
  <c r="BK44" i="20"/>
  <c r="AA44" i="20"/>
  <c r="AB44" i="20" s="1"/>
  <c r="AC44" i="20" s="1"/>
  <c r="BA44" i="20"/>
  <c r="AU44" i="20"/>
  <c r="AZ44" i="20"/>
  <c r="AI44" i="20"/>
  <c r="AX44" i="20"/>
  <c r="AL44" i="20"/>
  <c r="AN44" i="20"/>
  <c r="Y55" i="1"/>
  <c r="W56" i="1"/>
  <c r="AP46" i="9"/>
  <c r="I58" i="1"/>
  <c r="C21" i="14" s="1"/>
  <c r="R57" i="1"/>
  <c r="C20" i="14"/>
  <c r="AQ46" i="12"/>
  <c r="AP45" i="10"/>
  <c r="X48" i="7"/>
  <c r="AO45" i="10"/>
  <c r="W48" i="7"/>
  <c r="G57" i="9"/>
  <c r="X57" i="9" s="1"/>
  <c r="AA47" i="9"/>
  <c r="AB47" i="9" s="1"/>
  <c r="AC47" i="9" s="1"/>
  <c r="AH47" i="9"/>
  <c r="AD47" i="9"/>
  <c r="AM47" i="9"/>
  <c r="AK47" i="9"/>
  <c r="BO47" i="12"/>
  <c r="AG47" i="9"/>
  <c r="S48" i="9"/>
  <c r="I48" i="9"/>
  <c r="Z46" i="10"/>
  <c r="AH46" i="10" s="1"/>
  <c r="BD46" i="10"/>
  <c r="B47" i="10" s="1"/>
  <c r="B60" i="1"/>
  <c r="X52" i="12"/>
  <c r="E59" i="1"/>
  <c r="I49" i="7"/>
  <c r="D12" i="14" s="1"/>
  <c r="E58" i="9"/>
  <c r="V58" i="9" s="1"/>
  <c r="J57" i="1"/>
  <c r="K57" i="1" s="1"/>
  <c r="L57" i="1" s="1"/>
  <c r="U57" i="1"/>
  <c r="P57" i="1"/>
  <c r="D58" i="9"/>
  <c r="U58" i="9" s="1"/>
  <c r="V57" i="1"/>
  <c r="S48" i="12"/>
  <c r="I48" i="12"/>
  <c r="H58" i="9"/>
  <c r="Y58" i="9" s="1"/>
  <c r="H59" i="1"/>
  <c r="J46" i="10"/>
  <c r="K46" i="10" s="1"/>
  <c r="L46" i="10" s="1"/>
  <c r="G60" i="1"/>
  <c r="AA47" i="12"/>
  <c r="AB47" i="12" s="1"/>
  <c r="AC47" i="12" s="1"/>
  <c r="BA47" i="12"/>
  <c r="BB47" i="12"/>
  <c r="BV47" i="12"/>
  <c r="AD47" i="12"/>
  <c r="AL47" i="12"/>
  <c r="BU47" i="12"/>
  <c r="BS47" i="12"/>
  <c r="BP47" i="12"/>
  <c r="AI47" i="12"/>
  <c r="AN47" i="12"/>
  <c r="S57" i="1"/>
  <c r="D59" i="1"/>
  <c r="AT46" i="22" l="1"/>
  <c r="AW46" i="22"/>
  <c r="AV46" i="22"/>
  <c r="Z51" i="24"/>
  <c r="AD51" i="24" s="1"/>
  <c r="AT51" i="24"/>
  <c r="B52" i="24" s="1"/>
  <c r="S52" i="24" s="1"/>
  <c r="AT52" i="24" s="1"/>
  <c r="AH46" i="22"/>
  <c r="W47" i="4"/>
  <c r="X47" i="4"/>
  <c r="G48" i="4"/>
  <c r="AR48" i="4" s="1"/>
  <c r="G49" i="4" s="1"/>
  <c r="AU47" i="4"/>
  <c r="H48" i="4"/>
  <c r="AS48" i="4" s="1"/>
  <c r="H49" i="4" s="1"/>
  <c r="B48" i="4"/>
  <c r="AM46" i="22"/>
  <c r="AI46" i="22"/>
  <c r="BA46" i="22"/>
  <c r="BK46" i="22"/>
  <c r="AZ46" i="22"/>
  <c r="AN46" i="22"/>
  <c r="AY46" i="22"/>
  <c r="AA46" i="22"/>
  <c r="AB46" i="22" s="1"/>
  <c r="AC46" i="22" s="1"/>
  <c r="AD46" i="22"/>
  <c r="E52" i="24"/>
  <c r="V52" i="24" s="1"/>
  <c r="AW52" i="24" s="1"/>
  <c r="D52" i="24"/>
  <c r="U52" i="24" s="1"/>
  <c r="AV52" i="24" s="1"/>
  <c r="H52" i="24"/>
  <c r="Y52" i="24" s="1"/>
  <c r="AZ52" i="24" s="1"/>
  <c r="G52" i="24"/>
  <c r="X52" i="24" s="1"/>
  <c r="AY52" i="24" s="1"/>
  <c r="Y56" i="1"/>
  <c r="AQ50" i="24"/>
  <c r="AP51" i="29"/>
  <c r="I53" i="29"/>
  <c r="J53" i="29" s="1"/>
  <c r="K53" i="29" s="1"/>
  <c r="L53" i="29" s="1"/>
  <c r="AA52" i="29"/>
  <c r="AB52" i="29" s="1"/>
  <c r="AC52" i="29" s="1"/>
  <c r="AD52" i="29"/>
  <c r="AL52" i="29"/>
  <c r="AJ52" i="29"/>
  <c r="AI52" i="29"/>
  <c r="AM52" i="29"/>
  <c r="AG52" i="29"/>
  <c r="I45" i="26"/>
  <c r="J45" i="26" s="1"/>
  <c r="K45" i="26" s="1"/>
  <c r="L45" i="26" s="1"/>
  <c r="Y51" i="25"/>
  <c r="AM52" i="25"/>
  <c r="B53" i="25" s="1"/>
  <c r="AT52" i="25"/>
  <c r="AU52" i="25" s="1"/>
  <c r="AE52" i="25"/>
  <c r="AP52" i="25"/>
  <c r="E53" i="25" s="1"/>
  <c r="AF52" i="25"/>
  <c r="V52" i="25"/>
  <c r="AJ52" i="25"/>
  <c r="R52" i="25"/>
  <c r="AO52" i="25"/>
  <c r="D53" i="25" s="1"/>
  <c r="AS52" i="25"/>
  <c r="H53" i="25" s="1"/>
  <c r="AH52" i="25"/>
  <c r="S52" i="25"/>
  <c r="J52" i="25"/>
  <c r="K52" i="25" s="1"/>
  <c r="L52" i="25" s="1"/>
  <c r="AR52" i="25"/>
  <c r="G53" i="25" s="1"/>
  <c r="U52" i="25"/>
  <c r="AI52" i="25"/>
  <c r="AC52" i="25"/>
  <c r="AP50" i="21"/>
  <c r="D64" i="21"/>
  <c r="U64" i="21" s="1"/>
  <c r="U65" i="21" s="1"/>
  <c r="G64" i="21"/>
  <c r="X64" i="21" s="1"/>
  <c r="X65" i="21" s="1"/>
  <c r="I52" i="21"/>
  <c r="J52" i="21" s="1"/>
  <c r="K52" i="21" s="1"/>
  <c r="L52" i="21" s="1"/>
  <c r="S52" i="21"/>
  <c r="E64" i="21"/>
  <c r="V64" i="21" s="1"/>
  <c r="V65" i="21" s="1"/>
  <c r="H64" i="21"/>
  <c r="Y64" i="21" s="1"/>
  <c r="Y65" i="21" s="1"/>
  <c r="AD51" i="21"/>
  <c r="AA51" i="21"/>
  <c r="AB51" i="21" s="1"/>
  <c r="AC51" i="21" s="1"/>
  <c r="AJ51" i="21"/>
  <c r="AI51" i="21"/>
  <c r="AM51" i="21"/>
  <c r="AL51" i="21"/>
  <c r="BV51" i="24"/>
  <c r="BA51" i="24"/>
  <c r="BT51" i="24"/>
  <c r="BU51" i="24"/>
  <c r="AN51" i="24"/>
  <c r="BQ51" i="24"/>
  <c r="AK51" i="24"/>
  <c r="AJ51" i="24"/>
  <c r="BR51" i="24"/>
  <c r="B45" i="23"/>
  <c r="BL44" i="23"/>
  <c r="BO51" i="24"/>
  <c r="AQ44" i="23"/>
  <c r="BJ44" i="20"/>
  <c r="H45" i="20" s="1"/>
  <c r="Y45" i="20" s="1"/>
  <c r="BH44" i="20"/>
  <c r="F45" i="20" s="1"/>
  <c r="W45" i="20" s="1"/>
  <c r="BE44" i="20"/>
  <c r="C45" i="20" s="1"/>
  <c r="T45" i="20" s="1"/>
  <c r="BD44" i="20"/>
  <c r="AP44" i="20"/>
  <c r="AO44" i="20"/>
  <c r="V58" i="1"/>
  <c r="P58" i="1"/>
  <c r="U58" i="1"/>
  <c r="R58" i="1"/>
  <c r="J58" i="1"/>
  <c r="K58" i="1" s="1"/>
  <c r="L58" i="1" s="1"/>
  <c r="S58" i="1"/>
  <c r="AQ45" i="10"/>
  <c r="AO47" i="9"/>
  <c r="X57" i="1"/>
  <c r="W57" i="1"/>
  <c r="AP47" i="12"/>
  <c r="Y48" i="7"/>
  <c r="AO47" i="12"/>
  <c r="G58" i="9"/>
  <c r="X58" i="9" s="1"/>
  <c r="J48" i="9"/>
  <c r="K48" i="9" s="1"/>
  <c r="L48" i="9" s="1"/>
  <c r="AN47" i="9"/>
  <c r="Z48" i="9"/>
  <c r="B49" i="9"/>
  <c r="H60" i="1"/>
  <c r="J49" i="7"/>
  <c r="K49" i="7" s="1"/>
  <c r="L49" i="7" s="1"/>
  <c r="Q49" i="7"/>
  <c r="U49" i="7"/>
  <c r="V49" i="7"/>
  <c r="AY52" i="12"/>
  <c r="G53" i="12" s="1"/>
  <c r="AT46" i="10"/>
  <c r="D60" i="1"/>
  <c r="J48" i="12"/>
  <c r="K48" i="12" s="1"/>
  <c r="L48" i="12" s="1"/>
  <c r="E59" i="9"/>
  <c r="V59" i="9" s="1"/>
  <c r="H59" i="9"/>
  <c r="Y59" i="9" s="1"/>
  <c r="AT48" i="12"/>
  <c r="B49" i="12" s="1"/>
  <c r="Z48" i="12"/>
  <c r="AH48" i="12" s="1"/>
  <c r="P49" i="7"/>
  <c r="E60" i="1"/>
  <c r="I59" i="1"/>
  <c r="C22" i="14" s="1"/>
  <c r="S47" i="10"/>
  <c r="I47" i="10"/>
  <c r="G61" i="1"/>
  <c r="D59" i="9"/>
  <c r="U59" i="9" s="1"/>
  <c r="AI49" i="7"/>
  <c r="AJ49" i="7" s="1"/>
  <c r="B50" i="7"/>
  <c r="B61" i="1"/>
  <c r="BA46" i="10"/>
  <c r="AA46" i="10"/>
  <c r="AB46" i="10" s="1"/>
  <c r="AC46" i="10" s="1"/>
  <c r="AD46" i="10"/>
  <c r="BL46" i="10"/>
  <c r="BK46" i="10"/>
  <c r="AL46" i="10"/>
  <c r="AN46" i="10"/>
  <c r="AZ46" i="10"/>
  <c r="AX46" i="10"/>
  <c r="AU46" i="10"/>
  <c r="AI46" i="10"/>
  <c r="AH51" i="24" l="1"/>
  <c r="AO51" i="24" s="1"/>
  <c r="AM51" i="24"/>
  <c r="AA51" i="24"/>
  <c r="AB51" i="24" s="1"/>
  <c r="AC51" i="24" s="1"/>
  <c r="AP46" i="22"/>
  <c r="AO46" i="22"/>
  <c r="AM48" i="4"/>
  <c r="B49" i="4" s="1"/>
  <c r="I48" i="4"/>
  <c r="Y47" i="4"/>
  <c r="G47" i="22"/>
  <c r="X47" i="22" s="1"/>
  <c r="BI47" i="22" s="1"/>
  <c r="H47" i="22"/>
  <c r="Y47" i="22" s="1"/>
  <c r="BJ47" i="22" s="1"/>
  <c r="I52" i="24"/>
  <c r="J52" i="24" s="1"/>
  <c r="K52" i="24" s="1"/>
  <c r="L52" i="24" s="1"/>
  <c r="BB51" i="24"/>
  <c r="G65" i="21"/>
  <c r="E65" i="21"/>
  <c r="H65" i="21"/>
  <c r="D65" i="21"/>
  <c r="AO52" i="29"/>
  <c r="AN52" i="29"/>
  <c r="Z53" i="29"/>
  <c r="AG53" i="29" s="1"/>
  <c r="B54" i="29"/>
  <c r="S54" i="29" s="1"/>
  <c r="I67" i="28"/>
  <c r="I73" i="28"/>
  <c r="I65" i="28"/>
  <c r="I71" i="28" s="1"/>
  <c r="Z45" i="26"/>
  <c r="I53" i="25"/>
  <c r="U53" i="25" s="1"/>
  <c r="W52" i="25"/>
  <c r="X52" i="25"/>
  <c r="AO51" i="21"/>
  <c r="Z52" i="24"/>
  <c r="Z52" i="21"/>
  <c r="AG52" i="21" s="1"/>
  <c r="B53" i="21"/>
  <c r="AN51" i="21"/>
  <c r="I45" i="23"/>
  <c r="J45" i="23" s="1"/>
  <c r="K45" i="23" s="1"/>
  <c r="L45" i="23" s="1"/>
  <c r="S45" i="23"/>
  <c r="AP47" i="9"/>
  <c r="X58" i="1"/>
  <c r="AQ44" i="20"/>
  <c r="W58" i="1"/>
  <c r="B45" i="20"/>
  <c r="BL44" i="20"/>
  <c r="I60" i="1"/>
  <c r="P60" i="1" s="1"/>
  <c r="Y57" i="1"/>
  <c r="AP46" i="10"/>
  <c r="AQ47" i="12"/>
  <c r="AO46" i="10"/>
  <c r="X49" i="7"/>
  <c r="G59" i="9"/>
  <c r="X59" i="9" s="1"/>
  <c r="S49" i="9"/>
  <c r="I49" i="9"/>
  <c r="BO48" i="12"/>
  <c r="AA48" i="9"/>
  <c r="AB48" i="9" s="1"/>
  <c r="AC48" i="9" s="1"/>
  <c r="AD48" i="9"/>
  <c r="AH48" i="9"/>
  <c r="AK48" i="9"/>
  <c r="AM48" i="9"/>
  <c r="AG48" i="9"/>
  <c r="J59" i="1"/>
  <c r="K59" i="1" s="1"/>
  <c r="L59" i="1" s="1"/>
  <c r="U59" i="1"/>
  <c r="P59" i="1"/>
  <c r="G62" i="1"/>
  <c r="S59" i="1"/>
  <c r="H60" i="9"/>
  <c r="Y60" i="9" s="1"/>
  <c r="E61" i="1"/>
  <c r="AA48" i="12"/>
  <c r="AB48" i="12" s="1"/>
  <c r="AC48" i="12" s="1"/>
  <c r="BA48" i="12"/>
  <c r="BV48" i="12"/>
  <c r="AD48" i="12"/>
  <c r="BB48" i="12"/>
  <c r="AN48" i="12"/>
  <c r="AI48" i="12"/>
  <c r="BP48" i="12"/>
  <c r="AL48" i="12"/>
  <c r="BS48" i="12"/>
  <c r="BU48" i="12"/>
  <c r="R59" i="1"/>
  <c r="X53" i="12"/>
  <c r="H61" i="1"/>
  <c r="D60" i="9"/>
  <c r="U60" i="9" s="1"/>
  <c r="J47" i="10"/>
  <c r="K47" i="10" s="1"/>
  <c r="L47" i="10" s="1"/>
  <c r="I50" i="7"/>
  <c r="BD47" i="10"/>
  <c r="B48" i="10" s="1"/>
  <c r="Z47" i="10"/>
  <c r="W49" i="7"/>
  <c r="S49" i="12"/>
  <c r="I49" i="12"/>
  <c r="D61" i="1"/>
  <c r="V59" i="1"/>
  <c r="B62" i="1"/>
  <c r="E60" i="9"/>
  <c r="V60" i="9" s="1"/>
  <c r="AQ46" i="22" l="1"/>
  <c r="AP51" i="24"/>
  <c r="H51" i="7"/>
  <c r="AH51" i="7" s="1"/>
  <c r="AD50" i="7"/>
  <c r="D51" i="7" s="1"/>
  <c r="AD51" i="7" s="1"/>
  <c r="AG50" i="7"/>
  <c r="G51" i="7" s="1"/>
  <c r="AG51" i="7" s="1"/>
  <c r="AH50" i="7"/>
  <c r="AB50" i="7"/>
  <c r="AI50" i="7" s="1"/>
  <c r="AJ50" i="7" s="1"/>
  <c r="AE50" i="7"/>
  <c r="E51" i="7" s="1"/>
  <c r="AE51" i="7" s="1"/>
  <c r="V48" i="4"/>
  <c r="AE48" i="4"/>
  <c r="B11" i="14"/>
  <c r="AH48" i="4"/>
  <c r="P48" i="4"/>
  <c r="T48" i="4"/>
  <c r="AF48" i="4"/>
  <c r="AC48" i="4"/>
  <c r="J48" i="4"/>
  <c r="K48" i="4" s="1"/>
  <c r="L48" i="4" s="1"/>
  <c r="Q48" i="4"/>
  <c r="AI48" i="4"/>
  <c r="AT48" i="4"/>
  <c r="AU48" i="4" s="1"/>
  <c r="AJ48" i="4"/>
  <c r="I49" i="4"/>
  <c r="AC49" i="4" s="1"/>
  <c r="B47" i="22"/>
  <c r="BL46" i="22"/>
  <c r="B53" i="24"/>
  <c r="S53" i="24" s="1"/>
  <c r="AT53" i="24" s="1"/>
  <c r="E53" i="24"/>
  <c r="V53" i="24" s="1"/>
  <c r="AW53" i="24" s="1"/>
  <c r="D53" i="24"/>
  <c r="U53" i="24" s="1"/>
  <c r="AV53" i="24" s="1"/>
  <c r="G53" i="24"/>
  <c r="X53" i="24" s="1"/>
  <c r="AY53" i="24" s="1"/>
  <c r="AH52" i="24"/>
  <c r="V53" i="25"/>
  <c r="AQ51" i="24"/>
  <c r="Y58" i="1"/>
  <c r="AP53" i="25"/>
  <c r="E54" i="25" s="1"/>
  <c r="AT53" i="25"/>
  <c r="AU53" i="25" s="1"/>
  <c r="AE53" i="25"/>
  <c r="BO52" i="24"/>
  <c r="R53" i="25"/>
  <c r="J53" i="25"/>
  <c r="K53" i="25" s="1"/>
  <c r="L53" i="25" s="1"/>
  <c r="Y52" i="25"/>
  <c r="AI53" i="25"/>
  <c r="AO53" i="25"/>
  <c r="D54" i="25" s="1"/>
  <c r="I54" i="29"/>
  <c r="J54" i="29" s="1"/>
  <c r="K54" i="29" s="1"/>
  <c r="L54" i="29" s="1"/>
  <c r="AP52" i="29"/>
  <c r="AA53" i="29"/>
  <c r="AB53" i="29" s="1"/>
  <c r="AC53" i="29" s="1"/>
  <c r="AD53" i="29"/>
  <c r="AM53" i="29"/>
  <c r="AJ53" i="29"/>
  <c r="AL53" i="29"/>
  <c r="AI53" i="29"/>
  <c r="I72" i="28"/>
  <c r="I66" i="28"/>
  <c r="I68" i="28" s="1"/>
  <c r="BK45" i="26"/>
  <c r="AD45" i="26"/>
  <c r="BA45" i="26"/>
  <c r="AA45" i="26"/>
  <c r="AB45" i="26" s="1"/>
  <c r="AC45" i="26" s="1"/>
  <c r="AN45" i="26"/>
  <c r="AI45" i="26"/>
  <c r="AX45" i="26"/>
  <c r="AL45" i="26"/>
  <c r="AZ45" i="26"/>
  <c r="AU45" i="26"/>
  <c r="AH45" i="26"/>
  <c r="AT45" i="26"/>
  <c r="P53" i="25"/>
  <c r="S53" i="25"/>
  <c r="AS53" i="25"/>
  <c r="H54" i="25" s="1"/>
  <c r="AJ53" i="25"/>
  <c r="AC53" i="25"/>
  <c r="AH53" i="25"/>
  <c r="AF53" i="25"/>
  <c r="AM53" i="25"/>
  <c r="B54" i="25" s="1"/>
  <c r="AR53" i="25"/>
  <c r="G54" i="25" s="1"/>
  <c r="AP51" i="21"/>
  <c r="Z45" i="23"/>
  <c r="AT45" i="23" s="1"/>
  <c r="AD52" i="21"/>
  <c r="AA52" i="21"/>
  <c r="AB52" i="21" s="1"/>
  <c r="AC52" i="21" s="1"/>
  <c r="AM52" i="21"/>
  <c r="AJ52" i="21"/>
  <c r="AI52" i="21"/>
  <c r="AL52" i="21"/>
  <c r="S53" i="21"/>
  <c r="I53" i="21"/>
  <c r="J53" i="21" s="1"/>
  <c r="K53" i="21" s="1"/>
  <c r="L53" i="21" s="1"/>
  <c r="AA52" i="24"/>
  <c r="AB52" i="24" s="1"/>
  <c r="AC52" i="24" s="1"/>
  <c r="BA52" i="24"/>
  <c r="BV52" i="24"/>
  <c r="AD52" i="24"/>
  <c r="AN52" i="24"/>
  <c r="AM52" i="24"/>
  <c r="BT52" i="24"/>
  <c r="BU52" i="24"/>
  <c r="AK52" i="24"/>
  <c r="AJ52" i="24"/>
  <c r="BR52" i="24"/>
  <c r="BQ52" i="24"/>
  <c r="V60" i="1"/>
  <c r="J60" i="1"/>
  <c r="K60" i="1" s="1"/>
  <c r="S60" i="1"/>
  <c r="R60" i="1"/>
  <c r="S45" i="20"/>
  <c r="I45" i="20"/>
  <c r="J45" i="20" s="1"/>
  <c r="K45" i="20" s="1"/>
  <c r="L45" i="20" s="1"/>
  <c r="U60" i="1"/>
  <c r="C23" i="14"/>
  <c r="Y49" i="7"/>
  <c r="I61" i="1"/>
  <c r="C24" i="14" s="1"/>
  <c r="AQ46" i="10"/>
  <c r="AP48" i="12"/>
  <c r="X59" i="1"/>
  <c r="W59" i="1"/>
  <c r="AO48" i="9"/>
  <c r="P50" i="7"/>
  <c r="D13" i="14"/>
  <c r="AO48" i="12"/>
  <c r="G60" i="9"/>
  <c r="X60" i="9" s="1"/>
  <c r="Z49" i="9"/>
  <c r="AL49" i="9" s="1"/>
  <c r="B50" i="9"/>
  <c r="AN48" i="9"/>
  <c r="J49" i="9"/>
  <c r="K49" i="9" s="1"/>
  <c r="L49" i="9" s="1"/>
  <c r="E61" i="9"/>
  <c r="V61" i="9" s="1"/>
  <c r="AD47" i="10"/>
  <c r="AA47" i="10"/>
  <c r="AB47" i="10" s="1"/>
  <c r="AC47" i="10" s="1"/>
  <c r="BA47" i="10"/>
  <c r="BK47" i="10"/>
  <c r="BL47" i="10"/>
  <c r="AL47" i="10"/>
  <c r="AZ47" i="10"/>
  <c r="AX47" i="10"/>
  <c r="AU47" i="10"/>
  <c r="AN47" i="10"/>
  <c r="AI47" i="10"/>
  <c r="D62" i="1"/>
  <c r="S48" i="10"/>
  <c r="I48" i="10"/>
  <c r="D61" i="9"/>
  <c r="U61" i="9" s="1"/>
  <c r="AY53" i="12"/>
  <c r="G54" i="12" s="1"/>
  <c r="G63" i="1"/>
  <c r="AT47" i="10"/>
  <c r="H61" i="9"/>
  <c r="Y61" i="9" s="1"/>
  <c r="J49" i="12"/>
  <c r="K49" i="12" s="1"/>
  <c r="L49" i="12" s="1"/>
  <c r="AH47" i="10"/>
  <c r="J50" i="7"/>
  <c r="K50" i="7" s="1"/>
  <c r="L50" i="7" s="1"/>
  <c r="Q50" i="7"/>
  <c r="V50" i="7"/>
  <c r="U50" i="7"/>
  <c r="H62" i="1"/>
  <c r="E62" i="1"/>
  <c r="B63" i="1"/>
  <c r="Z49" i="12"/>
  <c r="AT49" i="12"/>
  <c r="B50" i="12" s="1"/>
  <c r="B51" i="7" l="1"/>
  <c r="AB51" i="7" s="1"/>
  <c r="AF49" i="4"/>
  <c r="AI49" i="4"/>
  <c r="Q49" i="4"/>
  <c r="U49" i="4"/>
  <c r="J49" i="4"/>
  <c r="K49" i="4" s="1"/>
  <c r="L49" i="4" s="1"/>
  <c r="AH49" i="4"/>
  <c r="V49" i="4"/>
  <c r="B12" i="14"/>
  <c r="AE49" i="4"/>
  <c r="AJ49" i="4"/>
  <c r="AT49" i="4"/>
  <c r="P49" i="4"/>
  <c r="X48" i="4"/>
  <c r="W48" i="4"/>
  <c r="I69" i="1"/>
  <c r="C10" i="8" s="1"/>
  <c r="S47" i="22"/>
  <c r="BD47" i="22" s="1"/>
  <c r="I47" i="22"/>
  <c r="J47" i="22" s="1"/>
  <c r="K47" i="22" s="1"/>
  <c r="L47" i="22" s="1"/>
  <c r="BB52" i="24"/>
  <c r="H53" i="24"/>
  <c r="Y53" i="24" s="1"/>
  <c r="W53" i="25"/>
  <c r="AH45" i="23"/>
  <c r="W60" i="1"/>
  <c r="AO53" i="29"/>
  <c r="AN53" i="29"/>
  <c r="B55" i="29"/>
  <c r="S55" i="29" s="1"/>
  <c r="Z54" i="29"/>
  <c r="AG54" i="29" s="1"/>
  <c r="BD45" i="26"/>
  <c r="BJ45" i="26"/>
  <c r="H46" i="26" s="1"/>
  <c r="Y46" i="26" s="1"/>
  <c r="BH45" i="26"/>
  <c r="F46" i="26" s="1"/>
  <c r="BE45" i="26"/>
  <c r="C46" i="26" s="1"/>
  <c r="AP45" i="26"/>
  <c r="AO45" i="26"/>
  <c r="I54" i="25"/>
  <c r="V54" i="25" s="1"/>
  <c r="X53" i="25"/>
  <c r="AO52" i="24"/>
  <c r="AN52" i="21"/>
  <c r="Z53" i="21"/>
  <c r="B54" i="21"/>
  <c r="AP52" i="24"/>
  <c r="AO52" i="21"/>
  <c r="BK45" i="23"/>
  <c r="BA45" i="23"/>
  <c r="AD45" i="23"/>
  <c r="AA45" i="23"/>
  <c r="AB45" i="23" s="1"/>
  <c r="AC45" i="23" s="1"/>
  <c r="AI45" i="23"/>
  <c r="AL45" i="23"/>
  <c r="AZ45" i="23"/>
  <c r="AX45" i="23"/>
  <c r="AN45" i="23"/>
  <c r="AU45" i="23"/>
  <c r="X60" i="1"/>
  <c r="Z45" i="20"/>
  <c r="AH45" i="20" s="1"/>
  <c r="R61" i="1"/>
  <c r="V61" i="1"/>
  <c r="I62" i="1"/>
  <c r="P62" i="1" s="1"/>
  <c r="AQ48" i="12"/>
  <c r="P61" i="1"/>
  <c r="U61" i="1"/>
  <c r="S61" i="1"/>
  <c r="J61" i="1"/>
  <c r="K61" i="1" s="1"/>
  <c r="L61" i="1" s="1"/>
  <c r="Y59" i="1"/>
  <c r="AP48" i="9"/>
  <c r="AP47" i="10"/>
  <c r="X50" i="7"/>
  <c r="AO47" i="10"/>
  <c r="BO49" i="12"/>
  <c r="AM49" i="12"/>
  <c r="W50" i="7"/>
  <c r="G61" i="9"/>
  <c r="X61" i="9" s="1"/>
  <c r="AH49" i="12"/>
  <c r="AH49" i="9"/>
  <c r="AM49" i="9"/>
  <c r="AA49" i="9"/>
  <c r="AB49" i="9" s="1"/>
  <c r="AC49" i="9" s="1"/>
  <c r="AG49" i="9"/>
  <c r="AD49" i="9"/>
  <c r="S50" i="9"/>
  <c r="I50" i="9"/>
  <c r="E63" i="1"/>
  <c r="G64" i="1"/>
  <c r="G65" i="1" s="1"/>
  <c r="D62" i="9"/>
  <c r="U62" i="9" s="1"/>
  <c r="Z48" i="10"/>
  <c r="AT48" i="10" s="1"/>
  <c r="E62" i="9"/>
  <c r="V62" i="9" s="1"/>
  <c r="I51" i="7"/>
  <c r="I70" i="1"/>
  <c r="C11" i="8" s="1"/>
  <c r="L60" i="1"/>
  <c r="S50" i="12"/>
  <c r="I50" i="12"/>
  <c r="B64" i="1"/>
  <c r="X54" i="12"/>
  <c r="D63" i="1"/>
  <c r="AA49" i="12"/>
  <c r="AB49" i="12" s="1"/>
  <c r="AC49" i="12" s="1"/>
  <c r="BV49" i="12"/>
  <c r="AD49" i="12"/>
  <c r="BA49" i="12"/>
  <c r="BB49" i="12"/>
  <c r="BP49" i="12"/>
  <c r="BU49" i="12"/>
  <c r="AI49" i="12"/>
  <c r="AN49" i="12"/>
  <c r="BT49" i="12"/>
  <c r="H63" i="1"/>
  <c r="H62" i="9"/>
  <c r="Y62" i="9" s="1"/>
  <c r="J48" i="10"/>
  <c r="K48" i="10" s="1"/>
  <c r="L48" i="10" s="1"/>
  <c r="G46" i="23" l="1"/>
  <c r="X46" i="23" s="1"/>
  <c r="BI45" i="23"/>
  <c r="Y48" i="4"/>
  <c r="W49" i="4"/>
  <c r="X49" i="4"/>
  <c r="AR49" i="4"/>
  <c r="G50" i="4" s="1"/>
  <c r="AU49" i="4"/>
  <c r="AP49" i="4"/>
  <c r="E50" i="4" s="1"/>
  <c r="AS49" i="4"/>
  <c r="H50" i="4" s="1"/>
  <c r="AO49" i="4"/>
  <c r="D50" i="4" s="1"/>
  <c r="AM49" i="4"/>
  <c r="B50" i="4" s="1"/>
  <c r="Z47" i="22"/>
  <c r="AH47" i="22" s="1"/>
  <c r="D52" i="7"/>
  <c r="AD52" i="7" s="1"/>
  <c r="H52" i="7"/>
  <c r="AH52" i="7" s="1"/>
  <c r="B52" i="7"/>
  <c r="AB52" i="7" s="1"/>
  <c r="E52" i="7"/>
  <c r="AE52" i="7" s="1"/>
  <c r="G52" i="7"/>
  <c r="AG52" i="7" s="1"/>
  <c r="I53" i="24"/>
  <c r="J53" i="24" s="1"/>
  <c r="K53" i="24" s="1"/>
  <c r="L53" i="24" s="1"/>
  <c r="Y60" i="1"/>
  <c r="S54" i="25"/>
  <c r="AP45" i="23"/>
  <c r="AT54" i="25"/>
  <c r="AU54" i="25" s="1"/>
  <c r="J54" i="25"/>
  <c r="K54" i="25" s="1"/>
  <c r="L54" i="25" s="1"/>
  <c r="U54" i="25"/>
  <c r="Y53" i="25"/>
  <c r="AQ45" i="26"/>
  <c r="AP53" i="29"/>
  <c r="AO45" i="23"/>
  <c r="B65" i="1"/>
  <c r="AQ52" i="24"/>
  <c r="I55" i="29"/>
  <c r="J55" i="29" s="1"/>
  <c r="K55" i="29" s="1"/>
  <c r="L55" i="29" s="1"/>
  <c r="AA54" i="29"/>
  <c r="AB54" i="29" s="1"/>
  <c r="AC54" i="29" s="1"/>
  <c r="AD54" i="29"/>
  <c r="AI54" i="29"/>
  <c r="AL54" i="29"/>
  <c r="AJ54" i="29"/>
  <c r="AM54" i="29"/>
  <c r="B46" i="26"/>
  <c r="S46" i="26" s="1"/>
  <c r="BL45" i="26"/>
  <c r="AE54" i="25"/>
  <c r="AP54" i="25"/>
  <c r="E55" i="25" s="1"/>
  <c r="AM54" i="25"/>
  <c r="B55" i="25" s="1"/>
  <c r="AF54" i="25"/>
  <c r="R54" i="25"/>
  <c r="P54" i="25"/>
  <c r="AR54" i="25"/>
  <c r="G55" i="25" s="1"/>
  <c r="AS54" i="25"/>
  <c r="H55" i="25" s="1"/>
  <c r="AC54" i="25"/>
  <c r="AI54" i="25"/>
  <c r="AJ54" i="25"/>
  <c r="AO54" i="25"/>
  <c r="D55" i="25" s="1"/>
  <c r="AH54" i="25"/>
  <c r="AP52" i="21"/>
  <c r="I54" i="21"/>
  <c r="J54" i="21" s="1"/>
  <c r="K54" i="21" s="1"/>
  <c r="L54" i="21" s="1"/>
  <c r="S54" i="21"/>
  <c r="AD53" i="21"/>
  <c r="AA53" i="21"/>
  <c r="AB53" i="21" s="1"/>
  <c r="AC53" i="21" s="1"/>
  <c r="AJ53" i="21"/>
  <c r="AI53" i="21"/>
  <c r="AM53" i="21"/>
  <c r="AL53" i="21"/>
  <c r="BJ45" i="23"/>
  <c r="H46" i="23" s="1"/>
  <c r="Y46" i="23" s="1"/>
  <c r="BE45" i="23"/>
  <c r="C46" i="23" s="1"/>
  <c r="BD45" i="23"/>
  <c r="AG53" i="21"/>
  <c r="C25" i="14"/>
  <c r="AT45" i="20"/>
  <c r="BK45" i="20"/>
  <c r="BA45" i="20"/>
  <c r="AA45" i="20"/>
  <c r="AB45" i="20" s="1"/>
  <c r="AC45" i="20" s="1"/>
  <c r="AD45" i="20"/>
  <c r="AN45" i="20"/>
  <c r="AZ45" i="20"/>
  <c r="AL45" i="20"/>
  <c r="AU45" i="20"/>
  <c r="AI45" i="20"/>
  <c r="AX45" i="20"/>
  <c r="U62" i="1"/>
  <c r="R62" i="1"/>
  <c r="J62" i="1"/>
  <c r="K62" i="1" s="1"/>
  <c r="L62" i="1" s="1"/>
  <c r="W61" i="1"/>
  <c r="V62" i="1"/>
  <c r="S62" i="1"/>
  <c r="X61" i="1"/>
  <c r="Y50" i="7"/>
  <c r="P51" i="7"/>
  <c r="D14" i="14"/>
  <c r="AO49" i="9"/>
  <c r="AQ47" i="10"/>
  <c r="AP49" i="12"/>
  <c r="AO49" i="12"/>
  <c r="G62" i="9"/>
  <c r="X62" i="9" s="1"/>
  <c r="AH48" i="10"/>
  <c r="Z50" i="9"/>
  <c r="AL50" i="9" s="1"/>
  <c r="B51" i="9"/>
  <c r="AN49" i="9"/>
  <c r="J50" i="9"/>
  <c r="K50" i="9" s="1"/>
  <c r="L50" i="9" s="1"/>
  <c r="D64" i="1"/>
  <c r="D65" i="1" s="1"/>
  <c r="H63" i="9"/>
  <c r="Y63" i="9" s="1"/>
  <c r="Z50" i="12"/>
  <c r="AM50" i="12" s="1"/>
  <c r="AT50" i="12"/>
  <c r="B51" i="12" s="1"/>
  <c r="D63" i="9"/>
  <c r="U63" i="9" s="1"/>
  <c r="I63" i="1"/>
  <c r="V63" i="1" s="1"/>
  <c r="H64" i="1"/>
  <c r="H65" i="1" s="1"/>
  <c r="AA48" i="10"/>
  <c r="AB48" i="10" s="1"/>
  <c r="AC48" i="10" s="1"/>
  <c r="BK48" i="10"/>
  <c r="BA48" i="10"/>
  <c r="AD48" i="10"/>
  <c r="AU48" i="10"/>
  <c r="AX48" i="10"/>
  <c r="AZ48" i="10"/>
  <c r="AI48" i="10"/>
  <c r="AN48" i="10"/>
  <c r="AL48" i="10"/>
  <c r="E64" i="1"/>
  <c r="E65" i="1" s="1"/>
  <c r="J50" i="12"/>
  <c r="K50" i="12" s="1"/>
  <c r="L50" i="12" s="1"/>
  <c r="J51" i="7"/>
  <c r="K51" i="7" s="1"/>
  <c r="L51" i="7" s="1"/>
  <c r="S51" i="7"/>
  <c r="R51" i="7"/>
  <c r="U51" i="7"/>
  <c r="V51" i="7"/>
  <c r="E63" i="9"/>
  <c r="V63" i="9" s="1"/>
  <c r="AI51" i="7" l="1"/>
  <c r="AJ51" i="7" s="1"/>
  <c r="Y49" i="4"/>
  <c r="I50" i="4"/>
  <c r="AI50" i="4" s="1"/>
  <c r="AT47" i="22"/>
  <c r="AD47" i="22"/>
  <c r="BA47" i="22"/>
  <c r="AI47" i="22"/>
  <c r="AY47" i="22"/>
  <c r="AM47" i="22"/>
  <c r="BK47" i="22"/>
  <c r="AN47" i="22"/>
  <c r="AA47" i="22"/>
  <c r="AB47" i="22" s="1"/>
  <c r="AC47" i="22" s="1"/>
  <c r="AZ47" i="22"/>
  <c r="AW47" i="22"/>
  <c r="AV47" i="22"/>
  <c r="AQ45" i="23"/>
  <c r="Z53" i="24"/>
  <c r="BV53" i="24" s="1"/>
  <c r="AZ53" i="24"/>
  <c r="H54" i="24" s="1"/>
  <c r="B54" i="24"/>
  <c r="E54" i="24"/>
  <c r="V54" i="24" s="1"/>
  <c r="D54" i="24"/>
  <c r="U54" i="24" s="1"/>
  <c r="G54" i="24"/>
  <c r="X54" i="24" s="1"/>
  <c r="W54" i="25"/>
  <c r="X54" i="25"/>
  <c r="I55" i="25"/>
  <c r="S55" i="25" s="1"/>
  <c r="I65" i="1"/>
  <c r="X62" i="1"/>
  <c r="AN54" i="29"/>
  <c r="AO54" i="29"/>
  <c r="Z55" i="29"/>
  <c r="AG55" i="29" s="1"/>
  <c r="B56" i="29"/>
  <c r="S56" i="29" s="1"/>
  <c r="I46" i="26"/>
  <c r="J46" i="26" s="1"/>
  <c r="K46" i="26" s="1"/>
  <c r="L46" i="26" s="1"/>
  <c r="AH55" i="25"/>
  <c r="AJ55" i="25"/>
  <c r="B46" i="23"/>
  <c r="BL45" i="23"/>
  <c r="AO53" i="21"/>
  <c r="AN53" i="21"/>
  <c r="Z54" i="21"/>
  <c r="AG54" i="21" s="1"/>
  <c r="B55" i="21"/>
  <c r="AP45" i="20"/>
  <c r="Y61" i="1"/>
  <c r="BD45" i="20"/>
  <c r="BJ45" i="20"/>
  <c r="H46" i="20" s="1"/>
  <c r="Y46" i="20" s="1"/>
  <c r="BH45" i="20"/>
  <c r="F46" i="20" s="1"/>
  <c r="W46" i="20" s="1"/>
  <c r="BE45" i="20"/>
  <c r="C46" i="20" s="1"/>
  <c r="T46" i="20" s="1"/>
  <c r="AO45" i="20"/>
  <c r="W62" i="1"/>
  <c r="S63" i="1"/>
  <c r="R63" i="1"/>
  <c r="C26" i="14"/>
  <c r="AP49" i="9"/>
  <c r="AP48" i="10"/>
  <c r="AQ49" i="12"/>
  <c r="X51" i="7"/>
  <c r="AO48" i="10"/>
  <c r="W51" i="7"/>
  <c r="G63" i="9"/>
  <c r="X63" i="9" s="1"/>
  <c r="I51" i="9"/>
  <c r="S51" i="9"/>
  <c r="AG50" i="9"/>
  <c r="AA50" i="9"/>
  <c r="AB50" i="9" s="1"/>
  <c r="AC50" i="9" s="1"/>
  <c r="AD50" i="9"/>
  <c r="AH50" i="9"/>
  <c r="AM50" i="9"/>
  <c r="BD48" i="10"/>
  <c r="BE48" i="10"/>
  <c r="C49" i="10" s="1"/>
  <c r="T49" i="10" s="1"/>
  <c r="BH48" i="10"/>
  <c r="G49" i="10" s="1"/>
  <c r="BJ48" i="10"/>
  <c r="H49" i="10" s="1"/>
  <c r="Y49" i="10" s="1"/>
  <c r="S51" i="12"/>
  <c r="I51" i="12"/>
  <c r="H64" i="9"/>
  <c r="Y64" i="9" s="1"/>
  <c r="H65" i="9" s="1"/>
  <c r="Y65" i="9" s="1"/>
  <c r="I52" i="7"/>
  <c r="AA50" i="12"/>
  <c r="AB50" i="12" s="1"/>
  <c r="AC50" i="12" s="1"/>
  <c r="BA50" i="12"/>
  <c r="BV50" i="12"/>
  <c r="BB50" i="12"/>
  <c r="AD50" i="12"/>
  <c r="AN50" i="12"/>
  <c r="BU50" i="12"/>
  <c r="AI50" i="12"/>
  <c r="BP50" i="12"/>
  <c r="BT50" i="12"/>
  <c r="E64" i="9"/>
  <c r="V64" i="9" s="1"/>
  <c r="E65" i="9" s="1"/>
  <c r="V65" i="9" s="1"/>
  <c r="J63" i="1"/>
  <c r="K63" i="1" s="1"/>
  <c r="L63" i="1" s="1"/>
  <c r="U63" i="1"/>
  <c r="P63" i="1"/>
  <c r="BO50" i="12"/>
  <c r="I64" i="1"/>
  <c r="D64" i="9"/>
  <c r="U64" i="9" s="1"/>
  <c r="D65" i="9" s="1"/>
  <c r="U65" i="9" s="1"/>
  <c r="AH50" i="12"/>
  <c r="H48" i="22" l="1"/>
  <c r="Y48" i="22" s="1"/>
  <c r="G48" i="22"/>
  <c r="X48" i="22" s="1"/>
  <c r="E48" i="22"/>
  <c r="V48" i="22" s="1"/>
  <c r="D48" i="22"/>
  <c r="U48" i="22" s="1"/>
  <c r="AP47" i="22"/>
  <c r="V50" i="4"/>
  <c r="AE50" i="4"/>
  <c r="J50" i="4"/>
  <c r="K50" i="4" s="1"/>
  <c r="L50" i="4" s="1"/>
  <c r="AJ50" i="4"/>
  <c r="Q50" i="4"/>
  <c r="B13" i="14"/>
  <c r="AT50" i="4"/>
  <c r="AH50" i="4"/>
  <c r="P50" i="4"/>
  <c r="AF50" i="4"/>
  <c r="U50" i="4"/>
  <c r="AC50" i="4"/>
  <c r="AO47" i="22"/>
  <c r="BA53" i="24"/>
  <c r="BT53" i="24"/>
  <c r="BO53" i="24"/>
  <c r="AH53" i="24"/>
  <c r="AK53" i="24"/>
  <c r="AD53" i="24"/>
  <c r="BR53" i="24"/>
  <c r="BQ53" i="24"/>
  <c r="BU53" i="24"/>
  <c r="AJ53" i="24"/>
  <c r="AN53" i="24"/>
  <c r="AM53" i="24"/>
  <c r="AA53" i="24"/>
  <c r="AB53" i="24" s="1"/>
  <c r="AC53" i="24" s="1"/>
  <c r="S54" i="24"/>
  <c r="AT54" i="24" s="1"/>
  <c r="B55" i="24" s="1"/>
  <c r="S55" i="24" s="1"/>
  <c r="Y54" i="24"/>
  <c r="AZ54" i="24" s="1"/>
  <c r="H55" i="24" s="1"/>
  <c r="AW54" i="24"/>
  <c r="E55" i="24" s="1"/>
  <c r="V55" i="24" s="1"/>
  <c r="AV54" i="24"/>
  <c r="D55" i="24" s="1"/>
  <c r="U55" i="24" s="1"/>
  <c r="BB53" i="24"/>
  <c r="I54" i="24"/>
  <c r="J54" i="24" s="1"/>
  <c r="K54" i="24" s="1"/>
  <c r="L54" i="24" s="1"/>
  <c r="E53" i="7"/>
  <c r="AE53" i="7" s="1"/>
  <c r="H53" i="7"/>
  <c r="AH53" i="7" s="1"/>
  <c r="G53" i="7"/>
  <c r="AG53" i="7" s="1"/>
  <c r="D53" i="7"/>
  <c r="AD53" i="7" s="1"/>
  <c r="Y54" i="25"/>
  <c r="AI55" i="25"/>
  <c r="AM55" i="25"/>
  <c r="B56" i="25" s="1"/>
  <c r="AE55" i="25"/>
  <c r="AS55" i="25"/>
  <c r="H56" i="25" s="1"/>
  <c r="V55" i="25"/>
  <c r="I71" i="1"/>
  <c r="AO55" i="25"/>
  <c r="D56" i="25" s="1"/>
  <c r="AP55" i="25"/>
  <c r="E56" i="25" s="1"/>
  <c r="AC55" i="25"/>
  <c r="AF55" i="25"/>
  <c r="J55" i="25"/>
  <c r="K55" i="25" s="1"/>
  <c r="L55" i="25" s="1"/>
  <c r="AR55" i="25"/>
  <c r="G56" i="25" s="1"/>
  <c r="U55" i="25"/>
  <c r="R55" i="25"/>
  <c r="Y62" i="1"/>
  <c r="AT55" i="25"/>
  <c r="AU55" i="25" s="1"/>
  <c r="P55" i="25"/>
  <c r="AP54" i="29"/>
  <c r="I56" i="29"/>
  <c r="J56" i="29" s="1"/>
  <c r="K56" i="29" s="1"/>
  <c r="L56" i="29" s="1"/>
  <c r="AD55" i="29"/>
  <c r="AA55" i="29"/>
  <c r="AB55" i="29" s="1"/>
  <c r="AC55" i="29" s="1"/>
  <c r="AI55" i="29"/>
  <c r="AM55" i="29"/>
  <c r="AJ55" i="29"/>
  <c r="AL55" i="29"/>
  <c r="Z46" i="26"/>
  <c r="AH46" i="26" s="1"/>
  <c r="AP53" i="21"/>
  <c r="S55" i="21"/>
  <c r="I55" i="21"/>
  <c r="J55" i="21" s="1"/>
  <c r="K55" i="21" s="1"/>
  <c r="L55" i="21" s="1"/>
  <c r="AD54" i="21"/>
  <c r="AA54" i="21"/>
  <c r="AB54" i="21" s="1"/>
  <c r="AC54" i="21" s="1"/>
  <c r="AM54" i="21"/>
  <c r="AI54" i="21"/>
  <c r="AL54" i="21"/>
  <c r="AJ54" i="21"/>
  <c r="S46" i="23"/>
  <c r="I46" i="23"/>
  <c r="J46" i="23" s="1"/>
  <c r="K46" i="23" s="1"/>
  <c r="L46" i="23" s="1"/>
  <c r="AQ45" i="20"/>
  <c r="B46" i="20"/>
  <c r="BL45" i="20"/>
  <c r="C27" i="14"/>
  <c r="J64" i="1"/>
  <c r="K64" i="1" s="1"/>
  <c r="L64" i="1" s="1"/>
  <c r="E66" i="9"/>
  <c r="V66" i="9" s="1"/>
  <c r="E67" i="9" s="1"/>
  <c r="V67" i="9" s="1"/>
  <c r="E68" i="9" s="1"/>
  <c r="V68" i="9" s="1"/>
  <c r="D66" i="9"/>
  <c r="U66" i="9" s="1"/>
  <c r="D67" i="9" s="1"/>
  <c r="U67" i="9" s="1"/>
  <c r="D68" i="9" s="1"/>
  <c r="U68" i="9" s="1"/>
  <c r="C28" i="14"/>
  <c r="H66" i="9"/>
  <c r="Y66" i="9" s="1"/>
  <c r="H67" i="9" s="1"/>
  <c r="Y67" i="9" s="1"/>
  <c r="H68" i="9" s="1"/>
  <c r="Y68" i="9" s="1"/>
  <c r="V64" i="1"/>
  <c r="S64" i="1"/>
  <c r="AO50" i="9"/>
  <c r="P52" i="7"/>
  <c r="D15" i="14"/>
  <c r="X63" i="1"/>
  <c r="W63" i="1"/>
  <c r="R64" i="1"/>
  <c r="AQ48" i="10"/>
  <c r="AO50" i="12"/>
  <c r="AP50" i="12"/>
  <c r="Y51" i="7"/>
  <c r="G64" i="9"/>
  <c r="X64" i="9" s="1"/>
  <c r="G65" i="9" s="1"/>
  <c r="X65" i="9" s="1"/>
  <c r="AN50" i="9"/>
  <c r="B52" i="9"/>
  <c r="Z51" i="9"/>
  <c r="AL51" i="9" s="1"/>
  <c r="J51" i="9"/>
  <c r="K51" i="9" s="1"/>
  <c r="L51" i="9" s="1"/>
  <c r="BJ49" i="10"/>
  <c r="H50" i="10" s="1"/>
  <c r="Y50" i="10" s="1"/>
  <c r="J52" i="7"/>
  <c r="K52" i="7" s="1"/>
  <c r="L52" i="7" s="1"/>
  <c r="R52" i="7"/>
  <c r="S52" i="7"/>
  <c r="V52" i="7"/>
  <c r="U52" i="7"/>
  <c r="X49" i="10"/>
  <c r="J51" i="12"/>
  <c r="K51" i="12" s="1"/>
  <c r="L51" i="12" s="1"/>
  <c r="BE49" i="10"/>
  <c r="C50" i="10" s="1"/>
  <c r="T50" i="10" s="1"/>
  <c r="P64" i="1"/>
  <c r="U64" i="1"/>
  <c r="B53" i="7"/>
  <c r="AB53" i="7" s="1"/>
  <c r="Z51" i="12"/>
  <c r="AT51" i="12"/>
  <c r="B52" i="12" s="1"/>
  <c r="B49" i="10"/>
  <c r="BL48" i="10"/>
  <c r="BL47" i="22" l="1"/>
  <c r="B48" i="22"/>
  <c r="AQ47" i="22"/>
  <c r="W50" i="4"/>
  <c r="X50" i="4"/>
  <c r="AU50" i="4"/>
  <c r="AP50" i="4"/>
  <c r="E51" i="4" s="1"/>
  <c r="AS50" i="4"/>
  <c r="H51" i="4" s="1"/>
  <c r="AO50" i="4"/>
  <c r="D51" i="4" s="1"/>
  <c r="AM50" i="4"/>
  <c r="B51" i="4" s="1"/>
  <c r="AR50" i="4"/>
  <c r="G51" i="4" s="1"/>
  <c r="AP53" i="24"/>
  <c r="AO53" i="24"/>
  <c r="Y55" i="24"/>
  <c r="D56" i="24"/>
  <c r="U56" i="24" s="1"/>
  <c r="E56" i="24"/>
  <c r="V56" i="24" s="1"/>
  <c r="B56" i="24"/>
  <c r="S56" i="24" s="1"/>
  <c r="AY54" i="24"/>
  <c r="G55" i="24" s="1"/>
  <c r="X55" i="24" s="1"/>
  <c r="Z54" i="24"/>
  <c r="AJ54" i="24" s="1"/>
  <c r="AI52" i="7"/>
  <c r="AJ52" i="7" s="1"/>
  <c r="I56" i="25"/>
  <c r="U56" i="25" s="1"/>
  <c r="X55" i="25"/>
  <c r="W55" i="25"/>
  <c r="C30" i="14"/>
  <c r="H69" i="9"/>
  <c r="Y69" i="9" s="1"/>
  <c r="D69" i="9"/>
  <c r="U69" i="9" s="1"/>
  <c r="E69" i="9"/>
  <c r="V69" i="9" s="1"/>
  <c r="V70" i="9" s="1"/>
  <c r="E70" i="9" s="1"/>
  <c r="AN55" i="29"/>
  <c r="AO55" i="29"/>
  <c r="Z56" i="29"/>
  <c r="AG56" i="29" s="1"/>
  <c r="B57" i="29"/>
  <c r="S57" i="29" s="1"/>
  <c r="BA46" i="26"/>
  <c r="AA46" i="26"/>
  <c r="AB46" i="26" s="1"/>
  <c r="AC46" i="26" s="1"/>
  <c r="BK46" i="26"/>
  <c r="AD46" i="26"/>
  <c r="AI46" i="26"/>
  <c r="AZ46" i="26"/>
  <c r="AX46" i="26"/>
  <c r="AU46" i="26"/>
  <c r="AN46" i="26"/>
  <c r="AL46" i="26"/>
  <c r="AT46" i="26"/>
  <c r="S56" i="25"/>
  <c r="R56" i="25"/>
  <c r="AT56" i="25"/>
  <c r="AU56" i="25" s="1"/>
  <c r="AO56" i="25"/>
  <c r="D57" i="25" s="1"/>
  <c r="AS56" i="25"/>
  <c r="H57" i="25" s="1"/>
  <c r="AM56" i="25"/>
  <c r="B57" i="25" s="1"/>
  <c r="J56" i="25"/>
  <c r="K56" i="25" s="1"/>
  <c r="L56" i="25" s="1"/>
  <c r="AR56" i="25"/>
  <c r="G57" i="25" s="1"/>
  <c r="AP56" i="25"/>
  <c r="E57" i="25" s="1"/>
  <c r="AJ56" i="25"/>
  <c r="AH56" i="25"/>
  <c r="AF56" i="25"/>
  <c r="P56" i="25"/>
  <c r="V56" i="25"/>
  <c r="AE56" i="25"/>
  <c r="AC56" i="25"/>
  <c r="AI56" i="25"/>
  <c r="AN54" i="21"/>
  <c r="AO54" i="21"/>
  <c r="Z46" i="23"/>
  <c r="AT46" i="23" s="1"/>
  <c r="Z55" i="21"/>
  <c r="AG55" i="21" s="1"/>
  <c r="B56" i="21"/>
  <c r="C31" i="14"/>
  <c r="I73" i="1"/>
  <c r="I46" i="20"/>
  <c r="J46" i="20" s="1"/>
  <c r="K46" i="20" s="1"/>
  <c r="L46" i="20" s="1"/>
  <c r="S46" i="20"/>
  <c r="Y70" i="9"/>
  <c r="H70" i="9" s="1"/>
  <c r="C29" i="14"/>
  <c r="Y63" i="1"/>
  <c r="G66" i="9"/>
  <c r="X66" i="9" s="1"/>
  <c r="G67" i="9" s="1"/>
  <c r="X67" i="9" s="1"/>
  <c r="G68" i="9" s="1"/>
  <c r="X68" i="9" s="1"/>
  <c r="X64" i="1"/>
  <c r="W64" i="1"/>
  <c r="AP50" i="9"/>
  <c r="AQ50" i="12"/>
  <c r="X52" i="7"/>
  <c r="BO51" i="12"/>
  <c r="AM51" i="12"/>
  <c r="W52" i="7"/>
  <c r="I52" i="9"/>
  <c r="S52" i="9"/>
  <c r="AA51" i="9"/>
  <c r="AB51" i="9" s="1"/>
  <c r="AC51" i="9" s="1"/>
  <c r="AM51" i="9"/>
  <c r="AD51" i="9"/>
  <c r="AI51" i="9"/>
  <c r="AJ51" i="9"/>
  <c r="AG51" i="9"/>
  <c r="I53" i="7"/>
  <c r="AA51" i="12"/>
  <c r="AB51" i="12" s="1"/>
  <c r="AC51" i="12" s="1"/>
  <c r="BA51" i="12"/>
  <c r="AD51" i="12"/>
  <c r="BB51" i="12"/>
  <c r="BV51" i="12"/>
  <c r="BU51" i="12"/>
  <c r="AN51" i="12"/>
  <c r="BR51" i="12"/>
  <c r="AJ51" i="12"/>
  <c r="AK51" i="12"/>
  <c r="BQ51" i="12"/>
  <c r="BT51" i="12"/>
  <c r="S52" i="12"/>
  <c r="I52" i="12"/>
  <c r="BI49" i="10"/>
  <c r="G50" i="10" s="1"/>
  <c r="AH51" i="12"/>
  <c r="S49" i="10"/>
  <c r="I49" i="10"/>
  <c r="I48" i="22" l="1"/>
  <c r="J48" i="22" s="1"/>
  <c r="K48" i="22" s="1"/>
  <c r="L48" i="22" s="1"/>
  <c r="S48" i="22"/>
  <c r="Y50" i="4"/>
  <c r="I51" i="4"/>
  <c r="U51" i="4" s="1"/>
  <c r="AQ53" i="24"/>
  <c r="BB54" i="24"/>
  <c r="BT54" i="24"/>
  <c r="I55" i="24"/>
  <c r="J55" i="24" s="1"/>
  <c r="K55" i="24" s="1"/>
  <c r="L55" i="24" s="1"/>
  <c r="AD54" i="24"/>
  <c r="AA54" i="24"/>
  <c r="AB54" i="24" s="1"/>
  <c r="AC54" i="24" s="1"/>
  <c r="AK54" i="24"/>
  <c r="BO54" i="24"/>
  <c r="AN54" i="24"/>
  <c r="BQ54" i="24"/>
  <c r="BA54" i="24"/>
  <c r="BU54" i="24"/>
  <c r="AH54" i="24"/>
  <c r="BR54" i="24"/>
  <c r="BV54" i="24"/>
  <c r="AM54" i="24"/>
  <c r="G54" i="7"/>
  <c r="AG54" i="7" s="1"/>
  <c r="D54" i="7"/>
  <c r="AD54" i="7" s="1"/>
  <c r="Y55" i="25"/>
  <c r="H54" i="7"/>
  <c r="AH54" i="7" s="1"/>
  <c r="B54" i="7"/>
  <c r="AB54" i="7" s="1"/>
  <c r="E54" i="7"/>
  <c r="AE54" i="7" s="1"/>
  <c r="AH46" i="23"/>
  <c r="G69" i="9"/>
  <c r="X69" i="9" s="1"/>
  <c r="AP55" i="29"/>
  <c r="I57" i="29"/>
  <c r="J57" i="29" s="1"/>
  <c r="K57" i="29" s="1"/>
  <c r="L57" i="29" s="1"/>
  <c r="AD56" i="29"/>
  <c r="AA56" i="29"/>
  <c r="AB56" i="29" s="1"/>
  <c r="AC56" i="29" s="1"/>
  <c r="AJ56" i="29"/>
  <c r="AI56" i="29"/>
  <c r="AL56" i="29"/>
  <c r="AM56" i="29"/>
  <c r="AO46" i="26"/>
  <c r="BH46" i="26"/>
  <c r="F47" i="26" s="1"/>
  <c r="BE46" i="26"/>
  <c r="C47" i="26" s="1"/>
  <c r="BD46" i="26"/>
  <c r="BJ46" i="26"/>
  <c r="H47" i="26" s="1"/>
  <c r="Y47" i="26" s="1"/>
  <c r="AP46" i="26"/>
  <c r="I57" i="25"/>
  <c r="AI57" i="25" s="1"/>
  <c r="W56" i="25"/>
  <c r="X56" i="25"/>
  <c r="AP54" i="21"/>
  <c r="S56" i="21"/>
  <c r="I56" i="21"/>
  <c r="J56" i="21" s="1"/>
  <c r="K56" i="21" s="1"/>
  <c r="L56" i="21" s="1"/>
  <c r="AD55" i="21"/>
  <c r="AA55" i="21"/>
  <c r="AB55" i="21" s="1"/>
  <c r="AC55" i="21" s="1"/>
  <c r="AM55" i="21"/>
  <c r="AL55" i="21"/>
  <c r="AI55" i="21"/>
  <c r="AJ55" i="21"/>
  <c r="Z55" i="24"/>
  <c r="AZ55" i="24" s="1"/>
  <c r="H56" i="24" s="1"/>
  <c r="Y56" i="24" s="1"/>
  <c r="AA46" i="23"/>
  <c r="AB46" i="23" s="1"/>
  <c r="AC46" i="23" s="1"/>
  <c r="BA46" i="23"/>
  <c r="AD46" i="23"/>
  <c r="BK46" i="23"/>
  <c r="AI46" i="23"/>
  <c r="AU46" i="23"/>
  <c r="AL46" i="23"/>
  <c r="AX46" i="23"/>
  <c r="AZ46" i="23"/>
  <c r="AN46" i="23"/>
  <c r="I72" i="1"/>
  <c r="Z46" i="20"/>
  <c r="AH46" i="20" s="1"/>
  <c r="C14" i="8"/>
  <c r="I67" i="1"/>
  <c r="C8" i="8" s="1"/>
  <c r="U70" i="9"/>
  <c r="D70" i="9" s="1"/>
  <c r="I66" i="1"/>
  <c r="I68" i="1" s="1"/>
  <c r="C6" i="8"/>
  <c r="Y52" i="7"/>
  <c r="P53" i="7"/>
  <c r="D16" i="14"/>
  <c r="AO51" i="9"/>
  <c r="Y64" i="1"/>
  <c r="AP51" i="12"/>
  <c r="AO51" i="12"/>
  <c r="B53" i="9"/>
  <c r="Z52" i="9"/>
  <c r="AL52" i="9" s="1"/>
  <c r="J52" i="9"/>
  <c r="K52" i="9" s="1"/>
  <c r="L52" i="9" s="1"/>
  <c r="AN51" i="9"/>
  <c r="J49" i="10"/>
  <c r="K49" i="10" s="1"/>
  <c r="L49" i="10" s="1"/>
  <c r="AT52" i="12"/>
  <c r="B53" i="12" s="1"/>
  <c r="Z52" i="12"/>
  <c r="J53" i="7"/>
  <c r="K53" i="7" s="1"/>
  <c r="L53" i="7" s="1"/>
  <c r="S53" i="7"/>
  <c r="R53" i="7"/>
  <c r="U53" i="7"/>
  <c r="V53" i="7"/>
  <c r="J52" i="12"/>
  <c r="K52" i="12" s="1"/>
  <c r="L52" i="12" s="1"/>
  <c r="BD49" i="10"/>
  <c r="B50" i="10" s="1"/>
  <c r="Z49" i="10"/>
  <c r="X50" i="10"/>
  <c r="Z48" i="22" l="1"/>
  <c r="AT48" i="22"/>
  <c r="BG46" i="23"/>
  <c r="BF46" i="23"/>
  <c r="V51" i="4"/>
  <c r="R51" i="4"/>
  <c r="S51" i="4"/>
  <c r="AE51" i="4"/>
  <c r="AF51" i="4"/>
  <c r="AI51" i="4"/>
  <c r="P51" i="4"/>
  <c r="AC51" i="4"/>
  <c r="AJ51" i="4"/>
  <c r="J51" i="4"/>
  <c r="K51" i="4" s="1"/>
  <c r="L51" i="4" s="1"/>
  <c r="B14" i="14"/>
  <c r="AT51" i="4"/>
  <c r="AH51" i="4"/>
  <c r="BI46" i="23"/>
  <c r="G47" i="23" s="1"/>
  <c r="X47" i="23" s="1"/>
  <c r="G56" i="24"/>
  <c r="X56" i="24" s="1"/>
  <c r="AP54" i="24"/>
  <c r="AO54" i="24"/>
  <c r="AI53" i="7"/>
  <c r="AJ53" i="7" s="1"/>
  <c r="AN55" i="24"/>
  <c r="AP46" i="23"/>
  <c r="AQ46" i="26"/>
  <c r="AO56" i="29"/>
  <c r="Z57" i="29"/>
  <c r="AG57" i="29" s="1"/>
  <c r="B58" i="29"/>
  <c r="S58" i="29" s="1"/>
  <c r="AN56" i="29"/>
  <c r="B47" i="26"/>
  <c r="S47" i="26" s="1"/>
  <c r="BL46" i="26"/>
  <c r="R57" i="25"/>
  <c r="AT57" i="25"/>
  <c r="AU57" i="25" s="1"/>
  <c r="AS57" i="25"/>
  <c r="H58" i="25" s="1"/>
  <c r="AR57" i="25"/>
  <c r="G58" i="25" s="1"/>
  <c r="AP57" i="25"/>
  <c r="E58" i="25" s="1"/>
  <c r="AJ57" i="25"/>
  <c r="AO57" i="25"/>
  <c r="D58" i="25" s="1"/>
  <c r="AM57" i="25"/>
  <c r="B58" i="25" s="1"/>
  <c r="J57" i="25"/>
  <c r="K57" i="25" s="1"/>
  <c r="L57" i="25" s="1"/>
  <c r="AE57" i="25"/>
  <c r="V57" i="25"/>
  <c r="Y56" i="25"/>
  <c r="AH57" i="25"/>
  <c r="S57" i="25"/>
  <c r="P57" i="25"/>
  <c r="U57" i="25"/>
  <c r="AF57" i="25"/>
  <c r="AC57" i="25"/>
  <c r="AO55" i="21"/>
  <c r="BD46" i="23"/>
  <c r="BJ46" i="23"/>
  <c r="H47" i="23" s="1"/>
  <c r="Y47" i="23" s="1"/>
  <c r="BT55" i="24"/>
  <c r="BR55" i="24"/>
  <c r="AM55" i="24"/>
  <c r="AA55" i="24"/>
  <c r="AB55" i="24" s="1"/>
  <c r="AC55" i="24" s="1"/>
  <c r="BA55" i="24"/>
  <c r="AJ55" i="24"/>
  <c r="AH55" i="24"/>
  <c r="BV55" i="24"/>
  <c r="AK55" i="24"/>
  <c r="AD55" i="24"/>
  <c r="BQ55" i="24"/>
  <c r="BO55" i="24"/>
  <c r="BU55" i="24"/>
  <c r="Z56" i="21"/>
  <c r="B57" i="21"/>
  <c r="AO46" i="23"/>
  <c r="AN55" i="21"/>
  <c r="AT46" i="20"/>
  <c r="AD46" i="20"/>
  <c r="BA46" i="20"/>
  <c r="AA46" i="20"/>
  <c r="AB46" i="20" s="1"/>
  <c r="AC46" i="20" s="1"/>
  <c r="BK46" i="20"/>
  <c r="AU46" i="20"/>
  <c r="AI46" i="20"/>
  <c r="AL46" i="20"/>
  <c r="AX46" i="20"/>
  <c r="AZ46" i="20"/>
  <c r="AN46" i="20"/>
  <c r="X70" i="9"/>
  <c r="G70" i="9" s="1"/>
  <c r="C9" i="8"/>
  <c r="C7" i="8"/>
  <c r="AP51" i="9"/>
  <c r="AQ51" i="12"/>
  <c r="X53" i="7"/>
  <c r="AT49" i="10"/>
  <c r="AM49" i="10"/>
  <c r="AH52" i="12"/>
  <c r="AM52" i="12"/>
  <c r="W53" i="7"/>
  <c r="AI52" i="9"/>
  <c r="AA52" i="9"/>
  <c r="AB52" i="9" s="1"/>
  <c r="AC52" i="9" s="1"/>
  <c r="AM52" i="9"/>
  <c r="AD52" i="9"/>
  <c r="AJ52" i="9"/>
  <c r="S53" i="9"/>
  <c r="I53" i="9"/>
  <c r="AG52" i="9"/>
  <c r="I54" i="7"/>
  <c r="S50" i="10"/>
  <c r="I50" i="10"/>
  <c r="AA52" i="12"/>
  <c r="AB52" i="12" s="1"/>
  <c r="AC52" i="12" s="1"/>
  <c r="BV52" i="12"/>
  <c r="AD52" i="12"/>
  <c r="BB52" i="12"/>
  <c r="BA52" i="12"/>
  <c r="BU52" i="12"/>
  <c r="AN52" i="12"/>
  <c r="AJ52" i="12"/>
  <c r="AK52" i="12"/>
  <c r="BQ52" i="12"/>
  <c r="BR52" i="12"/>
  <c r="BT52" i="12"/>
  <c r="S53" i="12"/>
  <c r="I53" i="12"/>
  <c r="AA49" i="10"/>
  <c r="AB49" i="10" s="1"/>
  <c r="AC49" i="10" s="1"/>
  <c r="BK49" i="10"/>
  <c r="AD49" i="10"/>
  <c r="BL49" i="10"/>
  <c r="BA49" i="10"/>
  <c r="AI49" i="10"/>
  <c r="AU49" i="10"/>
  <c r="AN49" i="10"/>
  <c r="AZ49" i="10"/>
  <c r="AY49" i="10"/>
  <c r="AH49" i="10"/>
  <c r="BO52" i="12"/>
  <c r="AH48" i="22" l="1"/>
  <c r="AI48" i="22"/>
  <c r="AA48" i="22"/>
  <c r="AB48" i="22" s="1"/>
  <c r="AC48" i="22" s="1"/>
  <c r="AW48" i="22"/>
  <c r="AZ48" i="22"/>
  <c r="AJ48" i="22"/>
  <c r="AN48" i="22"/>
  <c r="BA48" i="22"/>
  <c r="AV48" i="22"/>
  <c r="AY48" i="22"/>
  <c r="BK48" i="22"/>
  <c r="AD48" i="22"/>
  <c r="AK48" i="22"/>
  <c r="AM48" i="22"/>
  <c r="E52" i="4"/>
  <c r="B52" i="4"/>
  <c r="D52" i="4"/>
  <c r="H52" i="4"/>
  <c r="G52" i="4"/>
  <c r="AU51" i="4"/>
  <c r="X51" i="4"/>
  <c r="W51" i="4"/>
  <c r="Y51" i="4" s="1"/>
  <c r="E47" i="23"/>
  <c r="V47" i="23" s="1"/>
  <c r="D47" i="23"/>
  <c r="U47" i="23" s="1"/>
  <c r="AQ46" i="23"/>
  <c r="AQ54" i="24"/>
  <c r="D17" i="14"/>
  <c r="B55" i="7"/>
  <c r="E55" i="7"/>
  <c r="G55" i="7"/>
  <c r="D55" i="7"/>
  <c r="AP55" i="21"/>
  <c r="AP56" i="29"/>
  <c r="I58" i="29"/>
  <c r="J58" i="29" s="1"/>
  <c r="K58" i="29" s="1"/>
  <c r="L58" i="29" s="1"/>
  <c r="AD57" i="29"/>
  <c r="AA57" i="29"/>
  <c r="AB57" i="29" s="1"/>
  <c r="AC57" i="29" s="1"/>
  <c r="AJ57" i="29"/>
  <c r="AL57" i="29"/>
  <c r="AI57" i="29"/>
  <c r="AM57" i="29"/>
  <c r="I47" i="26"/>
  <c r="J47" i="26" s="1"/>
  <c r="K47" i="26" s="1"/>
  <c r="L47" i="26" s="1"/>
  <c r="I58" i="25"/>
  <c r="AC58" i="25" s="1"/>
  <c r="X57" i="25"/>
  <c r="W57" i="25"/>
  <c r="BB55" i="24"/>
  <c r="S57" i="21"/>
  <c r="I57" i="21"/>
  <c r="J57" i="21" s="1"/>
  <c r="K57" i="21" s="1"/>
  <c r="L57" i="21" s="1"/>
  <c r="AD56" i="21"/>
  <c r="AA56" i="21"/>
  <c r="AB56" i="21" s="1"/>
  <c r="AC56" i="21" s="1"/>
  <c r="AI56" i="21"/>
  <c r="AM56" i="21"/>
  <c r="AJ56" i="21"/>
  <c r="AL56" i="21"/>
  <c r="AG56" i="21"/>
  <c r="I56" i="24"/>
  <c r="J56" i="24" s="1"/>
  <c r="K56" i="24" s="1"/>
  <c r="L56" i="24" s="1"/>
  <c r="B47" i="23"/>
  <c r="S47" i="23" s="1"/>
  <c r="BL46" i="23"/>
  <c r="AP55" i="24"/>
  <c r="AO55" i="24"/>
  <c r="AO46" i="20"/>
  <c r="BJ46" i="20"/>
  <c r="H47" i="20" s="1"/>
  <c r="Y47" i="20" s="1"/>
  <c r="BH46" i="20"/>
  <c r="F47" i="20" s="1"/>
  <c r="W47" i="20" s="1"/>
  <c r="BE46" i="20"/>
  <c r="C47" i="20" s="1"/>
  <c r="T47" i="20" s="1"/>
  <c r="BD46" i="20"/>
  <c r="AP46" i="20"/>
  <c r="Y53" i="7"/>
  <c r="AO52" i="9"/>
  <c r="P54" i="7"/>
  <c r="AP49" i="10"/>
  <c r="AP52" i="12"/>
  <c r="AO49" i="10"/>
  <c r="AO52" i="12"/>
  <c r="Z53" i="9"/>
  <c r="AL53" i="9" s="1"/>
  <c r="B54" i="9"/>
  <c r="AN52" i="9"/>
  <c r="J53" i="9"/>
  <c r="K53" i="9" s="1"/>
  <c r="L53" i="9" s="1"/>
  <c r="Z50" i="10"/>
  <c r="J53" i="12"/>
  <c r="K53" i="12" s="1"/>
  <c r="L53" i="12" s="1"/>
  <c r="Z53" i="12"/>
  <c r="AT53" i="12"/>
  <c r="B54" i="12" s="1"/>
  <c r="J54" i="7"/>
  <c r="K54" i="7" s="1"/>
  <c r="L54" i="7" s="1"/>
  <c r="R54" i="7"/>
  <c r="S54" i="7"/>
  <c r="V54" i="7"/>
  <c r="U54" i="7"/>
  <c r="J50" i="10"/>
  <c r="K50" i="10" s="1"/>
  <c r="L50" i="10" s="1"/>
  <c r="BF48" i="22" l="1"/>
  <c r="D49" i="22" s="1"/>
  <c r="U49" i="22" s="1"/>
  <c r="BJ48" i="22"/>
  <c r="H49" i="22" s="1"/>
  <c r="Y49" i="22" s="1"/>
  <c r="BD48" i="22"/>
  <c r="BI48" i="22"/>
  <c r="G49" i="22" s="1"/>
  <c r="X49" i="22" s="1"/>
  <c r="BG48" i="22"/>
  <c r="E49" i="22" s="1"/>
  <c r="V49" i="22" s="1"/>
  <c r="AO48" i="22"/>
  <c r="AP48" i="22"/>
  <c r="AS52" i="4"/>
  <c r="H53" i="4" s="1"/>
  <c r="H54" i="4" s="1"/>
  <c r="AO52" i="4"/>
  <c r="D53" i="4" s="1"/>
  <c r="D54" i="4" s="1"/>
  <c r="AM52" i="4"/>
  <c r="B53" i="4" s="1"/>
  <c r="I52" i="4"/>
  <c r="V52" i="4" s="1"/>
  <c r="AR52" i="4"/>
  <c r="G53" i="4" s="1"/>
  <c r="G54" i="4" s="1"/>
  <c r="AP52" i="4"/>
  <c r="E53" i="4" s="1"/>
  <c r="E54" i="4" s="1"/>
  <c r="AQ46" i="20"/>
  <c r="AQ55" i="24"/>
  <c r="AO57" i="29"/>
  <c r="Z58" i="29"/>
  <c r="AG58" i="29" s="1"/>
  <c r="B59" i="29"/>
  <c r="S59" i="29" s="1"/>
  <c r="AN57" i="29"/>
  <c r="Z47" i="26"/>
  <c r="V58" i="25"/>
  <c r="AI58" i="25"/>
  <c r="AH58" i="25"/>
  <c r="R58" i="25"/>
  <c r="AR58" i="25"/>
  <c r="G59" i="25" s="1"/>
  <c r="AP58" i="25"/>
  <c r="E59" i="25" s="1"/>
  <c r="AJ58" i="25"/>
  <c r="AO58" i="25"/>
  <c r="D59" i="25" s="1"/>
  <c r="AM58" i="25"/>
  <c r="B59" i="25" s="1"/>
  <c r="J58" i="25"/>
  <c r="K58" i="25" s="1"/>
  <c r="L58" i="25" s="1"/>
  <c r="AS58" i="25"/>
  <c r="H59" i="25" s="1"/>
  <c r="AT58" i="25"/>
  <c r="AU58" i="25" s="1"/>
  <c r="AE58" i="25"/>
  <c r="U58" i="25"/>
  <c r="S58" i="25"/>
  <c r="Y57" i="25"/>
  <c r="P58" i="25"/>
  <c r="AF58" i="25"/>
  <c r="I47" i="23"/>
  <c r="J47" i="23" s="1"/>
  <c r="K47" i="23" s="1"/>
  <c r="L47" i="23" s="1"/>
  <c r="Z56" i="24"/>
  <c r="AN56" i="21"/>
  <c r="AO56" i="21"/>
  <c r="Z57" i="21"/>
  <c r="AG57" i="21" s="1"/>
  <c r="B58" i="21"/>
  <c r="B47" i="20"/>
  <c r="BL46" i="20"/>
  <c r="AP52" i="9"/>
  <c r="AQ49" i="10"/>
  <c r="AQ52" i="12"/>
  <c r="W54" i="7"/>
  <c r="AH50" i="10"/>
  <c r="AM50" i="10"/>
  <c r="AH53" i="12"/>
  <c r="AM53" i="12"/>
  <c r="X54" i="7"/>
  <c r="AM53" i="9"/>
  <c r="AI53" i="9"/>
  <c r="AA53" i="9"/>
  <c r="AB53" i="9" s="1"/>
  <c r="AC53" i="9" s="1"/>
  <c r="AJ53" i="9"/>
  <c r="AD53" i="9"/>
  <c r="AG53" i="9"/>
  <c r="S54" i="9"/>
  <c r="I54" i="9"/>
  <c r="AA53" i="12"/>
  <c r="AB53" i="12" s="1"/>
  <c r="AC53" i="12" s="1"/>
  <c r="BB53" i="12"/>
  <c r="BA53" i="12"/>
  <c r="BV53" i="12"/>
  <c r="AD53" i="12"/>
  <c r="AN53" i="12"/>
  <c r="BU53" i="12"/>
  <c r="AK53" i="12"/>
  <c r="BR53" i="12"/>
  <c r="AJ53" i="12"/>
  <c r="BQ53" i="12"/>
  <c r="BT53" i="12"/>
  <c r="BK50" i="10"/>
  <c r="AA50" i="10"/>
  <c r="AB50" i="10" s="1"/>
  <c r="AC50" i="10" s="1"/>
  <c r="BA50" i="10"/>
  <c r="AD50" i="10"/>
  <c r="AZ50" i="10"/>
  <c r="AI50" i="10"/>
  <c r="AU50" i="10"/>
  <c r="AN50" i="10"/>
  <c r="AY50" i="10"/>
  <c r="BO53" i="12"/>
  <c r="AI54" i="7"/>
  <c r="AJ54" i="7" s="1"/>
  <c r="H55" i="7"/>
  <c r="S54" i="12"/>
  <c r="I54" i="12"/>
  <c r="AT50" i="10"/>
  <c r="BL48" i="22" l="1"/>
  <c r="B49" i="22"/>
  <c r="AQ48" i="22"/>
  <c r="D57" i="24"/>
  <c r="U57" i="24" s="1"/>
  <c r="AV57" i="24" s="1"/>
  <c r="B57" i="24"/>
  <c r="S57" i="24" s="1"/>
  <c r="AT57" i="24" s="1"/>
  <c r="G57" i="24"/>
  <c r="X57" i="24" s="1"/>
  <c r="AY57" i="24" s="1"/>
  <c r="E57" i="24"/>
  <c r="V57" i="24" s="1"/>
  <c r="AW57" i="24" s="1"/>
  <c r="AH56" i="24"/>
  <c r="H57" i="24"/>
  <c r="Y57" i="24" s="1"/>
  <c r="AZ57" i="24" s="1"/>
  <c r="S52" i="4"/>
  <c r="U52" i="4"/>
  <c r="B54" i="4"/>
  <c r="I54" i="4" s="1"/>
  <c r="P54" i="4" s="1"/>
  <c r="I53" i="4"/>
  <c r="P52" i="4"/>
  <c r="AT52" i="4"/>
  <c r="AU52" i="4" s="1"/>
  <c r="AJ52" i="4"/>
  <c r="J52" i="4"/>
  <c r="K52" i="4" s="1"/>
  <c r="L52" i="4" s="1"/>
  <c r="B15" i="14"/>
  <c r="AF52" i="4"/>
  <c r="R52" i="4"/>
  <c r="AI52" i="4"/>
  <c r="AH52" i="4"/>
  <c r="AC52" i="4"/>
  <c r="AE52" i="4"/>
  <c r="AP57" i="29"/>
  <c r="I59" i="29"/>
  <c r="J59" i="29" s="1"/>
  <c r="K59" i="29" s="1"/>
  <c r="L59" i="29" s="1"/>
  <c r="AD58" i="29"/>
  <c r="AA58" i="29"/>
  <c r="AB58" i="29" s="1"/>
  <c r="AC58" i="29" s="1"/>
  <c r="AI58" i="29"/>
  <c r="AM58" i="29"/>
  <c r="AL58" i="29"/>
  <c r="AJ58" i="29"/>
  <c r="BK47" i="26"/>
  <c r="AD47" i="26"/>
  <c r="BA47" i="26"/>
  <c r="AA47" i="26"/>
  <c r="AB47" i="26" s="1"/>
  <c r="AC47" i="26" s="1"/>
  <c r="AZ47" i="26"/>
  <c r="AU47" i="26"/>
  <c r="AN47" i="26"/>
  <c r="AI47" i="26"/>
  <c r="AX47" i="26"/>
  <c r="AL47" i="26"/>
  <c r="AH47" i="26"/>
  <c r="AT47" i="26"/>
  <c r="X58" i="25"/>
  <c r="W58" i="25"/>
  <c r="I59" i="25"/>
  <c r="P59" i="25" s="1"/>
  <c r="BA56" i="24"/>
  <c r="BV56" i="24"/>
  <c r="AA56" i="24"/>
  <c r="AB56" i="24" s="1"/>
  <c r="AC56" i="24" s="1"/>
  <c r="AD56" i="24"/>
  <c r="BQ56" i="24"/>
  <c r="AM56" i="24"/>
  <c r="AJ56" i="24"/>
  <c r="AK56" i="24"/>
  <c r="BR56" i="24"/>
  <c r="BU56" i="24"/>
  <c r="AN56" i="24"/>
  <c r="BT56" i="24"/>
  <c r="I58" i="21"/>
  <c r="J58" i="21" s="1"/>
  <c r="K58" i="21" s="1"/>
  <c r="L58" i="21" s="1"/>
  <c r="S58" i="21"/>
  <c r="AD57" i="21"/>
  <c r="AA57" i="21"/>
  <c r="AB57" i="21" s="1"/>
  <c r="AC57" i="21" s="1"/>
  <c r="AM57" i="21"/>
  <c r="AI57" i="21"/>
  <c r="AJ57" i="21"/>
  <c r="AL57" i="21"/>
  <c r="BO56" i="24"/>
  <c r="AP56" i="21"/>
  <c r="Z47" i="23"/>
  <c r="AH47" i="23" s="1"/>
  <c r="S47" i="20"/>
  <c r="I47" i="20"/>
  <c r="J47" i="20" s="1"/>
  <c r="K47" i="20" s="1"/>
  <c r="L47" i="20" s="1"/>
  <c r="Y54" i="7"/>
  <c r="AO53" i="9"/>
  <c r="AP50" i="10"/>
  <c r="AP53" i="12"/>
  <c r="AO53" i="12"/>
  <c r="AO50" i="10"/>
  <c r="AN53" i="9"/>
  <c r="J54" i="9"/>
  <c r="K54" i="9" s="1"/>
  <c r="L54" i="9" s="1"/>
  <c r="B55" i="9"/>
  <c r="Z54" i="9"/>
  <c r="AL54" i="9" s="1"/>
  <c r="J54" i="12"/>
  <c r="K54" i="12" s="1"/>
  <c r="L54" i="12" s="1"/>
  <c r="Z54" i="12"/>
  <c r="AM54" i="12" s="1"/>
  <c r="BD50" i="10"/>
  <c r="BE50" i="10"/>
  <c r="BI50" i="10"/>
  <c r="G51" i="10" s="1"/>
  <c r="BJ50" i="10"/>
  <c r="H51" i="10" s="1"/>
  <c r="Y51" i="10" s="1"/>
  <c r="I55" i="7"/>
  <c r="I49" i="22" l="1"/>
  <c r="J49" i="22" s="1"/>
  <c r="K49" i="22" s="1"/>
  <c r="L49" i="22" s="1"/>
  <c r="S49" i="22"/>
  <c r="Z49" i="22" s="1"/>
  <c r="AH49" i="22" s="1"/>
  <c r="BB56" i="24"/>
  <c r="I57" i="24"/>
  <c r="J57" i="24" s="1"/>
  <c r="K57" i="24" s="1"/>
  <c r="L57" i="24" s="1"/>
  <c r="V54" i="4"/>
  <c r="U54" i="4"/>
  <c r="AC54" i="4"/>
  <c r="B17" i="14"/>
  <c r="AJ54" i="4"/>
  <c r="AT54" i="4"/>
  <c r="H55" i="4" s="1"/>
  <c r="AF54" i="4"/>
  <c r="AH54" i="4"/>
  <c r="R54" i="4"/>
  <c r="R53" i="4"/>
  <c r="S53" i="4"/>
  <c r="B16" i="14"/>
  <c r="AH53" i="4"/>
  <c r="P53" i="4"/>
  <c r="AC53" i="4"/>
  <c r="AI53" i="4"/>
  <c r="U53" i="4"/>
  <c r="AT53" i="4"/>
  <c r="AU53" i="4" s="1"/>
  <c r="AF53" i="4"/>
  <c r="V53" i="4"/>
  <c r="J53" i="4"/>
  <c r="K53" i="4" s="1"/>
  <c r="L53" i="4" s="1"/>
  <c r="AJ53" i="4"/>
  <c r="AE53" i="4"/>
  <c r="J54" i="4"/>
  <c r="K54" i="4" s="1"/>
  <c r="L54" i="4" s="1"/>
  <c r="AE54" i="4"/>
  <c r="S54" i="4"/>
  <c r="W52" i="4"/>
  <c r="X52" i="4"/>
  <c r="AU54" i="4"/>
  <c r="D55" i="4"/>
  <c r="E55" i="4"/>
  <c r="BA49" i="22"/>
  <c r="AD49" i="22"/>
  <c r="AA49" i="22"/>
  <c r="AB49" i="22" s="1"/>
  <c r="AC49" i="22" s="1"/>
  <c r="AW49" i="22"/>
  <c r="AN49" i="22"/>
  <c r="AV49" i="22"/>
  <c r="AZ49" i="22"/>
  <c r="AK49" i="22"/>
  <c r="AY49" i="22"/>
  <c r="AO57" i="21"/>
  <c r="AP56" i="24"/>
  <c r="AO58" i="29"/>
  <c r="Z59" i="29"/>
  <c r="AG59" i="29" s="1"/>
  <c r="B60" i="29"/>
  <c r="S60" i="29" s="1"/>
  <c r="AN58" i="29"/>
  <c r="BD47" i="26"/>
  <c r="BJ47" i="26"/>
  <c r="H48" i="26" s="1"/>
  <c r="Y48" i="26" s="1"/>
  <c r="BH47" i="26"/>
  <c r="F48" i="26" s="1"/>
  <c r="BE47" i="26"/>
  <c r="C48" i="26" s="1"/>
  <c r="AP47" i="26"/>
  <c r="AO47" i="26"/>
  <c r="AF59" i="25"/>
  <c r="Y58" i="25"/>
  <c r="AI59" i="25"/>
  <c r="U59" i="25"/>
  <c r="AS59" i="25"/>
  <c r="H60" i="25" s="1"/>
  <c r="AM59" i="25"/>
  <c r="B60" i="25" s="1"/>
  <c r="AR59" i="25"/>
  <c r="G60" i="25" s="1"/>
  <c r="J59" i="25"/>
  <c r="K59" i="25" s="1"/>
  <c r="L59" i="25" s="1"/>
  <c r="AJ59" i="25"/>
  <c r="AT59" i="25"/>
  <c r="AU59" i="25" s="1"/>
  <c r="AO59" i="25"/>
  <c r="D60" i="25" s="1"/>
  <c r="AP59" i="25"/>
  <c r="E60" i="25" s="1"/>
  <c r="V59" i="25"/>
  <c r="AH59" i="25"/>
  <c r="R59" i="25"/>
  <c r="S59" i="25"/>
  <c r="AE59" i="25"/>
  <c r="AC59" i="25"/>
  <c r="AO56" i="24"/>
  <c r="Z57" i="24"/>
  <c r="AN57" i="21"/>
  <c r="Z58" i="21"/>
  <c r="AG58" i="21" s="1"/>
  <c r="B59" i="21"/>
  <c r="BK47" i="23"/>
  <c r="BA47" i="23"/>
  <c r="AD47" i="23"/>
  <c r="AA47" i="23"/>
  <c r="AB47" i="23" s="1"/>
  <c r="AC47" i="23" s="1"/>
  <c r="AZ47" i="23"/>
  <c r="AU47" i="23"/>
  <c r="AI47" i="23"/>
  <c r="AX47" i="23"/>
  <c r="AL47" i="23"/>
  <c r="AN47" i="23"/>
  <c r="AT47" i="23"/>
  <c r="Z47" i="20"/>
  <c r="AH47" i="20" s="1"/>
  <c r="AQ50" i="10"/>
  <c r="AP53" i="9"/>
  <c r="V55" i="7"/>
  <c r="D18" i="14"/>
  <c r="AQ53" i="12"/>
  <c r="AJ54" i="9"/>
  <c r="AA54" i="9"/>
  <c r="AB54" i="9" s="1"/>
  <c r="AC54" i="9" s="1"/>
  <c r="AI54" i="9"/>
  <c r="AD54" i="9"/>
  <c r="AM54" i="9"/>
  <c r="AG54" i="9"/>
  <c r="S55" i="9"/>
  <c r="I55" i="9"/>
  <c r="X51" i="10"/>
  <c r="AZ54" i="12"/>
  <c r="H55" i="12" s="1"/>
  <c r="AA54" i="12"/>
  <c r="AB54" i="12" s="1"/>
  <c r="AC54" i="12" s="1"/>
  <c r="AD54" i="12"/>
  <c r="BV54" i="12"/>
  <c r="BA54" i="12"/>
  <c r="AN54" i="12"/>
  <c r="BU54" i="12"/>
  <c r="AJ54" i="12"/>
  <c r="BR54" i="12"/>
  <c r="AK54" i="12"/>
  <c r="BQ54" i="12"/>
  <c r="BT54" i="12"/>
  <c r="D51" i="10"/>
  <c r="U51" i="10" s="1"/>
  <c r="E51" i="10"/>
  <c r="V51" i="10" s="1"/>
  <c r="B51" i="10"/>
  <c r="BL50" i="10"/>
  <c r="AH54" i="12"/>
  <c r="D56" i="7"/>
  <c r="E56" i="7"/>
  <c r="G56" i="7"/>
  <c r="H56" i="7"/>
  <c r="U55" i="7"/>
  <c r="J55" i="7"/>
  <c r="K55" i="7" s="1"/>
  <c r="L55" i="7" s="1"/>
  <c r="R55" i="7"/>
  <c r="S55" i="7"/>
  <c r="P55" i="7"/>
  <c r="BJ51" i="10"/>
  <c r="H52" i="10" s="1"/>
  <c r="Y52" i="10" s="1"/>
  <c r="BO54" i="12"/>
  <c r="AJ49" i="22" l="1"/>
  <c r="AM49" i="22"/>
  <c r="AI49" i="22"/>
  <c r="AP49" i="22" s="1"/>
  <c r="BK49" i="22"/>
  <c r="BJ49" i="22" s="1"/>
  <c r="H50" i="22" s="1"/>
  <c r="Y50" i="22" s="1"/>
  <c r="BJ50" i="22" s="1"/>
  <c r="H51" i="22" s="1"/>
  <c r="Y51" i="22" s="1"/>
  <c r="AT49" i="22"/>
  <c r="B58" i="24"/>
  <c r="D58" i="24"/>
  <c r="G58" i="24"/>
  <c r="E58" i="24"/>
  <c r="BG47" i="23"/>
  <c r="BF47" i="23"/>
  <c r="BF49" i="22"/>
  <c r="D50" i="22" s="1"/>
  <c r="U50" i="22" s="1"/>
  <c r="BF50" i="22" s="1"/>
  <c r="D51" i="22" s="1"/>
  <c r="U51" i="22" s="1"/>
  <c r="BG49" i="22"/>
  <c r="E50" i="22" s="1"/>
  <c r="V50" i="22" s="1"/>
  <c r="BG50" i="22" s="1"/>
  <c r="E51" i="22" s="1"/>
  <c r="V51" i="22" s="1"/>
  <c r="G55" i="4"/>
  <c r="W54" i="4"/>
  <c r="B55" i="4"/>
  <c r="Y52" i="4"/>
  <c r="X54" i="4"/>
  <c r="W53" i="4"/>
  <c r="X53" i="4"/>
  <c r="H56" i="4"/>
  <c r="BI47" i="23"/>
  <c r="G48" i="23" s="1"/>
  <c r="X48" i="23" s="1"/>
  <c r="D48" i="23"/>
  <c r="U48" i="23" s="1"/>
  <c r="E48" i="23"/>
  <c r="V48" i="23" s="1"/>
  <c r="E56" i="4"/>
  <c r="D56" i="4"/>
  <c r="BO57" i="24"/>
  <c r="H58" i="24"/>
  <c r="Y58" i="24" s="1"/>
  <c r="AZ58" i="24" s="1"/>
  <c r="AQ56" i="24"/>
  <c r="AP57" i="21"/>
  <c r="AH57" i="24"/>
  <c r="AP58" i="29"/>
  <c r="I60" i="29"/>
  <c r="J60" i="29" s="1"/>
  <c r="AD59" i="29"/>
  <c r="AA59" i="29"/>
  <c r="AB59" i="29" s="1"/>
  <c r="AC59" i="29" s="1"/>
  <c r="AM59" i="29"/>
  <c r="AI59" i="29"/>
  <c r="AJ59" i="29"/>
  <c r="AL59" i="29"/>
  <c r="AQ47" i="26"/>
  <c r="B48" i="26"/>
  <c r="S48" i="26" s="1"/>
  <c r="BL47" i="26"/>
  <c r="W59" i="25"/>
  <c r="I60" i="25"/>
  <c r="AI60" i="25" s="1"/>
  <c r="X59" i="25"/>
  <c r="AA59" i="25"/>
  <c r="AO47" i="23"/>
  <c r="BV57" i="24"/>
  <c r="BA57" i="24"/>
  <c r="AD57" i="24"/>
  <c r="AA57" i="24"/>
  <c r="AB57" i="24" s="1"/>
  <c r="AC57" i="24" s="1"/>
  <c r="AJ57" i="24"/>
  <c r="BU57" i="24"/>
  <c r="BQ57" i="24"/>
  <c r="AN57" i="24"/>
  <c r="AM57" i="24"/>
  <c r="BR57" i="24"/>
  <c r="AK57" i="24"/>
  <c r="BT57" i="24"/>
  <c r="BJ47" i="23"/>
  <c r="H48" i="23" s="1"/>
  <c r="Y48" i="23" s="1"/>
  <c r="BD47" i="23"/>
  <c r="I59" i="21"/>
  <c r="J59" i="21" s="1"/>
  <c r="K59" i="21" s="1"/>
  <c r="L59" i="21" s="1"/>
  <c r="S59" i="21"/>
  <c r="AA58" i="21"/>
  <c r="AB58" i="21" s="1"/>
  <c r="AC58" i="21" s="1"/>
  <c r="AD58" i="21"/>
  <c r="AJ58" i="21"/>
  <c r="AM58" i="21"/>
  <c r="AI58" i="21"/>
  <c r="AL58" i="21"/>
  <c r="AP47" i="23"/>
  <c r="AT47" i="20"/>
  <c r="BA47" i="20"/>
  <c r="BK47" i="20"/>
  <c r="AD47" i="20"/>
  <c r="AA47" i="20"/>
  <c r="AB47" i="20" s="1"/>
  <c r="AC47" i="20" s="1"/>
  <c r="AI47" i="20"/>
  <c r="AU47" i="20"/>
  <c r="AN47" i="20"/>
  <c r="AX47" i="20"/>
  <c r="AL47" i="20"/>
  <c r="AZ47" i="20"/>
  <c r="AO54" i="9"/>
  <c r="AP54" i="12"/>
  <c r="AO54" i="12"/>
  <c r="X55" i="7"/>
  <c r="W55" i="7"/>
  <c r="AN54" i="9"/>
  <c r="J55" i="9"/>
  <c r="K55" i="9" s="1"/>
  <c r="L55" i="9" s="1"/>
  <c r="B56" i="9"/>
  <c r="Z55" i="9"/>
  <c r="AL55" i="9" s="1"/>
  <c r="BF51" i="10"/>
  <c r="D52" i="10" s="1"/>
  <c r="U52" i="10" s="1"/>
  <c r="B56" i="7"/>
  <c r="AI55" i="7"/>
  <c r="AJ55" i="7" s="1"/>
  <c r="S51" i="10"/>
  <c r="I51" i="10"/>
  <c r="Y55" i="12"/>
  <c r="I55" i="12"/>
  <c r="BB54" i="12"/>
  <c r="BJ52" i="10"/>
  <c r="H53" i="10" s="1"/>
  <c r="Y53" i="10" s="1"/>
  <c r="BG51" i="10"/>
  <c r="E52" i="10" s="1"/>
  <c r="V52" i="10" s="1"/>
  <c r="BI51" i="10"/>
  <c r="G52" i="10" s="1"/>
  <c r="BI49" i="22" l="1"/>
  <c r="G50" i="22" s="1"/>
  <c r="X50" i="22" s="1"/>
  <c r="BI50" i="22" s="1"/>
  <c r="G51" i="22" s="1"/>
  <c r="X51" i="22" s="1"/>
  <c r="BD49" i="22"/>
  <c r="BL49" i="22" s="1"/>
  <c r="AO49" i="22"/>
  <c r="AQ49" i="22" s="1"/>
  <c r="S58" i="24"/>
  <c r="AT58" i="24" s="1"/>
  <c r="X58" i="24"/>
  <c r="AY58" i="24" s="1"/>
  <c r="V58" i="24"/>
  <c r="AW58" i="24" s="1"/>
  <c r="U58" i="24"/>
  <c r="AV58" i="24" s="1"/>
  <c r="B50" i="22"/>
  <c r="G56" i="4"/>
  <c r="B56" i="4"/>
  <c r="Y54" i="4"/>
  <c r="I55" i="4"/>
  <c r="Y53" i="4"/>
  <c r="BB57" i="24"/>
  <c r="I58" i="24"/>
  <c r="J58" i="24" s="1"/>
  <c r="K58" i="24" s="1"/>
  <c r="L58" i="24" s="1"/>
  <c r="AP57" i="24"/>
  <c r="AO58" i="21"/>
  <c r="AO59" i="29"/>
  <c r="AN59" i="29"/>
  <c r="Z60" i="29"/>
  <c r="AG60" i="29" s="1"/>
  <c r="B61" i="29"/>
  <c r="S61" i="29" s="1"/>
  <c r="I69" i="29"/>
  <c r="K60" i="29"/>
  <c r="I48" i="26"/>
  <c r="J48" i="26" s="1"/>
  <c r="K48" i="26" s="1"/>
  <c r="L48" i="26" s="1"/>
  <c r="Y59" i="25"/>
  <c r="P60" i="25"/>
  <c r="AF60" i="25"/>
  <c r="AH60" i="25"/>
  <c r="V60" i="25"/>
  <c r="U60" i="25"/>
  <c r="R60" i="25"/>
  <c r="AE60" i="25"/>
  <c r="AC60" i="25"/>
  <c r="S60" i="25"/>
  <c r="AS60" i="25"/>
  <c r="H61" i="25" s="1"/>
  <c r="AM60" i="25"/>
  <c r="B61" i="25" s="1"/>
  <c r="AP60" i="25"/>
  <c r="E61" i="25" s="1"/>
  <c r="AO60" i="25"/>
  <c r="D61" i="25" s="1"/>
  <c r="J60" i="25"/>
  <c r="AJ60" i="25"/>
  <c r="AR60" i="25"/>
  <c r="G61" i="25" s="1"/>
  <c r="AT60" i="25"/>
  <c r="AU60" i="25" s="1"/>
  <c r="AQ47" i="23"/>
  <c r="AO57" i="24"/>
  <c r="AN58" i="21"/>
  <c r="Z59" i="21"/>
  <c r="AG59" i="21" s="1"/>
  <c r="B60" i="21"/>
  <c r="B48" i="23"/>
  <c r="S48" i="23" s="1"/>
  <c r="BL47" i="23"/>
  <c r="AP47" i="20"/>
  <c r="BD47" i="20"/>
  <c r="BJ47" i="20"/>
  <c r="H48" i="20" s="1"/>
  <c r="Y48" i="20" s="1"/>
  <c r="BH47" i="20"/>
  <c r="F48" i="20" s="1"/>
  <c r="W48" i="20" s="1"/>
  <c r="BE47" i="20"/>
  <c r="C48" i="20" s="1"/>
  <c r="T48" i="20" s="1"/>
  <c r="AO47" i="20"/>
  <c r="AP54" i="9"/>
  <c r="AQ54" i="12"/>
  <c r="Y55" i="7"/>
  <c r="AG55" i="9"/>
  <c r="AI55" i="9"/>
  <c r="AA55" i="9"/>
  <c r="AB55" i="9" s="1"/>
  <c r="AC55" i="9" s="1"/>
  <c r="AJ55" i="9"/>
  <c r="AD55" i="9"/>
  <c r="AM55" i="9"/>
  <c r="S56" i="9"/>
  <c r="I56" i="9"/>
  <c r="X52" i="10"/>
  <c r="BJ53" i="10"/>
  <c r="H54" i="10" s="1"/>
  <c r="Y54" i="10" s="1"/>
  <c r="Z55" i="12"/>
  <c r="AM55" i="12" s="1"/>
  <c r="I56" i="7"/>
  <c r="J51" i="10"/>
  <c r="K51" i="10" s="1"/>
  <c r="L51" i="10" s="1"/>
  <c r="BF52" i="10"/>
  <c r="D53" i="10" s="1"/>
  <c r="U53" i="10" s="1"/>
  <c r="BD51" i="10"/>
  <c r="B52" i="10" s="1"/>
  <c r="Z51" i="10"/>
  <c r="BG52" i="10"/>
  <c r="E53" i="10" s="1"/>
  <c r="V53" i="10" s="1"/>
  <c r="J55" i="12"/>
  <c r="K55" i="12" s="1"/>
  <c r="L55" i="12" s="1"/>
  <c r="Z58" i="24" l="1"/>
  <c r="I50" i="22"/>
  <c r="J50" i="22" s="1"/>
  <c r="K50" i="22" s="1"/>
  <c r="L50" i="22" s="1"/>
  <c r="S50" i="22"/>
  <c r="AD56" i="7"/>
  <c r="D57" i="7" s="1"/>
  <c r="AD57" i="7" s="1"/>
  <c r="AG56" i="7"/>
  <c r="G57" i="7" s="1"/>
  <c r="AG57" i="7" s="1"/>
  <c r="AH56" i="7"/>
  <c r="H57" i="7" s="1"/>
  <c r="AH57" i="7" s="1"/>
  <c r="AB56" i="7"/>
  <c r="AE56" i="7"/>
  <c r="E57" i="7" s="1"/>
  <c r="AE57" i="7" s="1"/>
  <c r="I56" i="4"/>
  <c r="AI56" i="4" s="1"/>
  <c r="AH55" i="4"/>
  <c r="AI55" i="4"/>
  <c r="AC55" i="4"/>
  <c r="AJ55" i="4"/>
  <c r="S55" i="4"/>
  <c r="U55" i="4"/>
  <c r="AF55" i="4"/>
  <c r="P55" i="4"/>
  <c r="J55" i="4"/>
  <c r="K55" i="4" s="1"/>
  <c r="L55" i="4" s="1"/>
  <c r="B18" i="14"/>
  <c r="V55" i="4"/>
  <c r="R55" i="4"/>
  <c r="AT55" i="4"/>
  <c r="AU55" i="4" s="1"/>
  <c r="AE55" i="4"/>
  <c r="AP58" i="21"/>
  <c r="U56" i="4"/>
  <c r="AF56" i="4"/>
  <c r="AJ56" i="4"/>
  <c r="P56" i="4"/>
  <c r="AH56" i="4"/>
  <c r="S56" i="4"/>
  <c r="B19" i="14"/>
  <c r="AT56" i="4"/>
  <c r="V56" i="4"/>
  <c r="AE56" i="4"/>
  <c r="AQ57" i="24"/>
  <c r="AQ47" i="20"/>
  <c r="AP59" i="29"/>
  <c r="I61" i="29"/>
  <c r="J61" i="29" s="1"/>
  <c r="K61" i="29" s="1"/>
  <c r="L61" i="29" s="1"/>
  <c r="I70" i="29"/>
  <c r="L60" i="29"/>
  <c r="AD60" i="29"/>
  <c r="AA60" i="29"/>
  <c r="AB60" i="29" s="1"/>
  <c r="AC60" i="29" s="1"/>
  <c r="AM60" i="29"/>
  <c r="AL60" i="29"/>
  <c r="AJ60" i="29"/>
  <c r="AI60" i="29"/>
  <c r="Z48" i="26"/>
  <c r="AT48" i="26" s="1"/>
  <c r="W60" i="25"/>
  <c r="X60" i="25"/>
  <c r="I61" i="25"/>
  <c r="AH61" i="25" s="1"/>
  <c r="I69" i="25"/>
  <c r="K60" i="25"/>
  <c r="I48" i="23"/>
  <c r="J48" i="23" s="1"/>
  <c r="K48" i="23" s="1"/>
  <c r="L48" i="23" s="1"/>
  <c r="S60" i="21"/>
  <c r="I60" i="21"/>
  <c r="J60" i="21" s="1"/>
  <c r="AD59" i="21"/>
  <c r="AA59" i="21"/>
  <c r="AB59" i="21" s="1"/>
  <c r="AC59" i="21" s="1"/>
  <c r="AJ59" i="21"/>
  <c r="AM59" i="21"/>
  <c r="AL59" i="21"/>
  <c r="AI59" i="21"/>
  <c r="B48" i="20"/>
  <c r="BL47" i="20"/>
  <c r="AO55" i="9"/>
  <c r="P56" i="7"/>
  <c r="D19" i="14"/>
  <c r="AH51" i="10"/>
  <c r="AM51" i="10"/>
  <c r="AT51" i="10"/>
  <c r="J56" i="9"/>
  <c r="K56" i="9" s="1"/>
  <c r="L56" i="9" s="1"/>
  <c r="B57" i="9"/>
  <c r="Z56" i="9"/>
  <c r="AL56" i="9" s="1"/>
  <c r="AN55" i="9"/>
  <c r="BG53" i="10"/>
  <c r="E54" i="10" s="1"/>
  <c r="V54" i="10" s="1"/>
  <c r="S52" i="10"/>
  <c r="I52" i="10"/>
  <c r="B57" i="7"/>
  <c r="AB57" i="7" s="1"/>
  <c r="AI56" i="7"/>
  <c r="AJ56" i="7" s="1"/>
  <c r="AT55" i="12"/>
  <c r="B56" i="12" s="1"/>
  <c r="AV55" i="12"/>
  <c r="D56" i="12" s="1"/>
  <c r="U56" i="12" s="1"/>
  <c r="AY55" i="12"/>
  <c r="G56" i="12" s="1"/>
  <c r="AZ55" i="12"/>
  <c r="H56" i="12" s="1"/>
  <c r="Y56" i="12" s="1"/>
  <c r="AA55" i="12"/>
  <c r="AB55" i="12" s="1"/>
  <c r="AC55" i="12" s="1"/>
  <c r="AW55" i="12"/>
  <c r="E56" i="12" s="1"/>
  <c r="V56" i="12" s="1"/>
  <c r="BA55" i="12"/>
  <c r="AK55" i="12"/>
  <c r="BR55" i="12"/>
  <c r="AD55" i="12"/>
  <c r="BQ55" i="12"/>
  <c r="BO55" i="12"/>
  <c r="AJ55" i="12"/>
  <c r="AH55" i="12"/>
  <c r="BV55" i="12"/>
  <c r="BT55" i="12"/>
  <c r="BU55" i="12"/>
  <c r="BI52" i="10"/>
  <c r="G53" i="10" s="1"/>
  <c r="BA51" i="10"/>
  <c r="AA51" i="10"/>
  <c r="AB51" i="10" s="1"/>
  <c r="AC51" i="10" s="1"/>
  <c r="AD51" i="10"/>
  <c r="BL51" i="10"/>
  <c r="BK51" i="10"/>
  <c r="AZ51" i="10"/>
  <c r="AN51" i="10"/>
  <c r="AJ51" i="10"/>
  <c r="AK51" i="10"/>
  <c r="AW51" i="10"/>
  <c r="AV51" i="10"/>
  <c r="AY51" i="10"/>
  <c r="BF53" i="10"/>
  <c r="D54" i="10" s="1"/>
  <c r="U54" i="10" s="1"/>
  <c r="J56" i="7"/>
  <c r="K56" i="7" s="1"/>
  <c r="L56" i="7" s="1"/>
  <c r="R56" i="7"/>
  <c r="U56" i="7"/>
  <c r="V56" i="7"/>
  <c r="S56" i="7"/>
  <c r="AN55" i="12"/>
  <c r="H59" i="24" l="1"/>
  <c r="Y59" i="24" s="1"/>
  <c r="AZ59" i="24" s="1"/>
  <c r="H60" i="24" s="1"/>
  <c r="D59" i="24"/>
  <c r="U59" i="24" s="1"/>
  <c r="B59" i="24"/>
  <c r="S59" i="24" s="1"/>
  <c r="AT59" i="24" s="1"/>
  <c r="BD50" i="22"/>
  <c r="Z50" i="22"/>
  <c r="R56" i="4"/>
  <c r="AC56" i="4"/>
  <c r="J56" i="4"/>
  <c r="K56" i="4" s="1"/>
  <c r="L56" i="4" s="1"/>
  <c r="W55" i="4"/>
  <c r="X55" i="4"/>
  <c r="Y55" i="4" s="1"/>
  <c r="AU56" i="4"/>
  <c r="D57" i="4"/>
  <c r="H57" i="4"/>
  <c r="B57" i="4"/>
  <c r="G57" i="4"/>
  <c r="E57" i="4"/>
  <c r="G59" i="24"/>
  <c r="X59" i="24" s="1"/>
  <c r="AY59" i="24" s="1"/>
  <c r="G60" i="24" s="1"/>
  <c r="X56" i="4"/>
  <c r="W56" i="4"/>
  <c r="BO58" i="24"/>
  <c r="AM58" i="24"/>
  <c r="AA58" i="24"/>
  <c r="AB58" i="24" s="1"/>
  <c r="AC58" i="24" s="1"/>
  <c r="BT58" i="24"/>
  <c r="BQ58" i="24"/>
  <c r="BR58" i="24"/>
  <c r="AK58" i="24"/>
  <c r="BV58" i="24"/>
  <c r="AD58" i="24"/>
  <c r="AJ58" i="24"/>
  <c r="AN58" i="24"/>
  <c r="BU58" i="24"/>
  <c r="BA58" i="24"/>
  <c r="AH58" i="24"/>
  <c r="AO60" i="29"/>
  <c r="AN60" i="29"/>
  <c r="Z61" i="29"/>
  <c r="AG61" i="29" s="1"/>
  <c r="B62" i="29"/>
  <c r="S62" i="29" s="1"/>
  <c r="AH48" i="26"/>
  <c r="BA48" i="26"/>
  <c r="AA48" i="26"/>
  <c r="AB48" i="26" s="1"/>
  <c r="AC48" i="26" s="1"/>
  <c r="BK48" i="26"/>
  <c r="AD48" i="26"/>
  <c r="AI48" i="26"/>
  <c r="AZ48" i="26"/>
  <c r="AU48" i="26"/>
  <c r="AN48" i="26"/>
  <c r="AX48" i="26"/>
  <c r="AL48" i="26"/>
  <c r="Y60" i="25"/>
  <c r="V61" i="25"/>
  <c r="I70" i="25"/>
  <c r="L60" i="25"/>
  <c r="AE61" i="25"/>
  <c r="R61" i="25"/>
  <c r="AF61" i="25"/>
  <c r="AP61" i="25"/>
  <c r="E62" i="25" s="1"/>
  <c r="AJ61" i="25"/>
  <c r="AT61" i="25"/>
  <c r="AU61" i="25" s="1"/>
  <c r="AM61" i="25"/>
  <c r="B62" i="25" s="1"/>
  <c r="AS61" i="25"/>
  <c r="H62" i="25" s="1"/>
  <c r="AR61" i="25"/>
  <c r="G62" i="25" s="1"/>
  <c r="AO61" i="25"/>
  <c r="D62" i="25" s="1"/>
  <c r="J61" i="25"/>
  <c r="K61" i="25" s="1"/>
  <c r="L61" i="25" s="1"/>
  <c r="P61" i="25"/>
  <c r="AI61" i="25"/>
  <c r="AC61" i="25"/>
  <c r="S61" i="25"/>
  <c r="U61" i="25"/>
  <c r="AN59" i="21"/>
  <c r="AO59" i="21"/>
  <c r="I69" i="21"/>
  <c r="K60" i="21"/>
  <c r="Z48" i="23"/>
  <c r="AH48" i="23" s="1"/>
  <c r="Z60" i="21"/>
  <c r="AG60" i="21" s="1"/>
  <c r="B61" i="21"/>
  <c r="I48" i="20"/>
  <c r="J48" i="20" s="1"/>
  <c r="K48" i="20" s="1"/>
  <c r="L48" i="20" s="1"/>
  <c r="S48" i="20"/>
  <c r="AP55" i="9"/>
  <c r="X56" i="7"/>
  <c r="AP51" i="10"/>
  <c r="AP55" i="12"/>
  <c r="AO55" i="12"/>
  <c r="AO51" i="10"/>
  <c r="W56" i="7"/>
  <c r="AG56" i="9"/>
  <c r="AI56" i="9"/>
  <c r="AA56" i="9"/>
  <c r="AB56" i="9" s="1"/>
  <c r="AC56" i="9" s="1"/>
  <c r="AJ56" i="9"/>
  <c r="AD56" i="9"/>
  <c r="AM56" i="9"/>
  <c r="S57" i="9"/>
  <c r="I57" i="9"/>
  <c r="BB55" i="12"/>
  <c r="S56" i="12"/>
  <c r="I56" i="12"/>
  <c r="AZ56" i="12"/>
  <c r="H57" i="12" s="1"/>
  <c r="Y57" i="12" s="1"/>
  <c r="J52" i="10"/>
  <c r="K52" i="10" s="1"/>
  <c r="L52" i="10" s="1"/>
  <c r="X56" i="12"/>
  <c r="I57" i="7"/>
  <c r="BD52" i="10"/>
  <c r="B53" i="10" s="1"/>
  <c r="Z52" i="10"/>
  <c r="X53" i="10"/>
  <c r="AW56" i="12"/>
  <c r="E57" i="12" s="1"/>
  <c r="V57" i="12" s="1"/>
  <c r="AV56" i="12"/>
  <c r="D57" i="12" s="1"/>
  <c r="U57" i="12" s="1"/>
  <c r="AH50" i="22" l="1"/>
  <c r="AI50" i="22"/>
  <c r="AD50" i="22"/>
  <c r="AY50" i="22"/>
  <c r="AJ50" i="22"/>
  <c r="BK50" i="22"/>
  <c r="AK50" i="22"/>
  <c r="BA50" i="22"/>
  <c r="AT50" i="22"/>
  <c r="AV50" i="22"/>
  <c r="AM50" i="22"/>
  <c r="AN50" i="22"/>
  <c r="AZ50" i="22"/>
  <c r="AW50" i="22"/>
  <c r="AA50" i="22"/>
  <c r="AB50" i="22" s="1"/>
  <c r="AC50" i="22" s="1"/>
  <c r="BL50" i="22"/>
  <c r="B51" i="22"/>
  <c r="B58" i="4"/>
  <c r="I57" i="4"/>
  <c r="BB58" i="24"/>
  <c r="E59" i="24"/>
  <c r="V59" i="24" s="1"/>
  <c r="D58" i="7"/>
  <c r="AD58" i="7" s="1"/>
  <c r="H58" i="7"/>
  <c r="AH58" i="7" s="1"/>
  <c r="B58" i="7"/>
  <c r="AB58" i="7" s="1"/>
  <c r="G58" i="7"/>
  <c r="AG58" i="7" s="1"/>
  <c r="E58" i="7"/>
  <c r="AE58" i="7" s="1"/>
  <c r="D58" i="4"/>
  <c r="Y56" i="4"/>
  <c r="G58" i="4"/>
  <c r="E58" i="4"/>
  <c r="H58" i="4"/>
  <c r="AP58" i="24"/>
  <c r="AO58" i="24"/>
  <c r="X60" i="24"/>
  <c r="AY60" i="24" s="1"/>
  <c r="Y60" i="24"/>
  <c r="AZ60" i="24" s="1"/>
  <c r="AP59" i="21"/>
  <c r="AP48" i="26"/>
  <c r="AT48" i="23"/>
  <c r="AP60" i="29"/>
  <c r="I62" i="29"/>
  <c r="J62" i="29" s="1"/>
  <c r="K62" i="29" s="1"/>
  <c r="L62" i="29" s="1"/>
  <c r="AD61" i="29"/>
  <c r="AA61" i="29"/>
  <c r="AB61" i="29" s="1"/>
  <c r="AC61" i="29" s="1"/>
  <c r="AI61" i="29"/>
  <c r="AJ61" i="29"/>
  <c r="AL61" i="29"/>
  <c r="AM61" i="29"/>
  <c r="AO48" i="26"/>
  <c r="BH48" i="26"/>
  <c r="G49" i="26" s="1"/>
  <c r="BE48" i="26"/>
  <c r="C49" i="26" s="1"/>
  <c r="BD48" i="26"/>
  <c r="BJ48" i="26"/>
  <c r="H49" i="26" s="1"/>
  <c r="Y49" i="26" s="1"/>
  <c r="X61" i="25"/>
  <c r="W61" i="25"/>
  <c r="I62" i="25"/>
  <c r="S62" i="25" s="1"/>
  <c r="I61" i="21"/>
  <c r="J61" i="21" s="1"/>
  <c r="K61" i="21" s="1"/>
  <c r="L61" i="21" s="1"/>
  <c r="S61" i="21"/>
  <c r="AD60" i="21"/>
  <c r="AA60" i="21"/>
  <c r="AB60" i="21" s="1"/>
  <c r="AC60" i="21" s="1"/>
  <c r="AM60" i="21"/>
  <c r="AI60" i="21"/>
  <c r="AJ60" i="21"/>
  <c r="AL60" i="21"/>
  <c r="AA48" i="23"/>
  <c r="AB48" i="23" s="1"/>
  <c r="AC48" i="23" s="1"/>
  <c r="BA48" i="23"/>
  <c r="BK48" i="23"/>
  <c r="AD48" i="23"/>
  <c r="AN48" i="23"/>
  <c r="AZ48" i="23"/>
  <c r="AX48" i="23"/>
  <c r="AI48" i="23"/>
  <c r="AL48" i="23"/>
  <c r="AU48" i="23"/>
  <c r="I70" i="21"/>
  <c r="L60" i="21"/>
  <c r="Z48" i="20"/>
  <c r="AH48" i="20" s="1"/>
  <c r="Y56" i="7"/>
  <c r="P57" i="7"/>
  <c r="D20" i="14"/>
  <c r="AO56" i="9"/>
  <c r="AQ51" i="10"/>
  <c r="AQ55" i="12"/>
  <c r="AT52" i="10"/>
  <c r="AM52" i="10"/>
  <c r="Z57" i="9"/>
  <c r="B58" i="9"/>
  <c r="J57" i="9"/>
  <c r="K57" i="9" s="1"/>
  <c r="L57" i="9" s="1"/>
  <c r="AN56" i="9"/>
  <c r="S53" i="10"/>
  <c r="I53" i="10"/>
  <c r="J56" i="12"/>
  <c r="K56" i="12" s="1"/>
  <c r="L56" i="12" s="1"/>
  <c r="AW57" i="12"/>
  <c r="E58" i="12" s="1"/>
  <c r="V58" i="12" s="1"/>
  <c r="AH52" i="10"/>
  <c r="AY56" i="12"/>
  <c r="G57" i="12" s="1"/>
  <c r="Z56" i="12"/>
  <c r="AH56" i="12" s="1"/>
  <c r="AT56" i="12"/>
  <c r="B57" i="12" s="1"/>
  <c r="AV57" i="12"/>
  <c r="D58" i="12" s="1"/>
  <c r="U58" i="12" s="1"/>
  <c r="BI53" i="10"/>
  <c r="G54" i="10" s="1"/>
  <c r="J57" i="7"/>
  <c r="K57" i="7" s="1"/>
  <c r="L57" i="7" s="1"/>
  <c r="S57" i="7"/>
  <c r="U57" i="7"/>
  <c r="V57" i="7"/>
  <c r="R57" i="7"/>
  <c r="AA52" i="10"/>
  <c r="AB52" i="10" s="1"/>
  <c r="AC52" i="10" s="1"/>
  <c r="BA52" i="10"/>
  <c r="BK52" i="10"/>
  <c r="AD52" i="10"/>
  <c r="BL52" i="10"/>
  <c r="AN52" i="10"/>
  <c r="AZ52" i="10"/>
  <c r="AW52" i="10"/>
  <c r="AJ52" i="10"/>
  <c r="AK52" i="10"/>
  <c r="AV52" i="10"/>
  <c r="AY52" i="10"/>
  <c r="AZ57" i="12"/>
  <c r="H58" i="12" s="1"/>
  <c r="Y58" i="12" s="1"/>
  <c r="I51" i="22" l="1"/>
  <c r="J51" i="22" s="1"/>
  <c r="K51" i="22" s="1"/>
  <c r="L51" i="22" s="1"/>
  <c r="S51" i="22"/>
  <c r="Z51" i="22" s="1"/>
  <c r="AT51" i="22" s="1"/>
  <c r="AP50" i="22"/>
  <c r="AO50" i="22"/>
  <c r="AQ50" i="22" s="1"/>
  <c r="S57" i="4"/>
  <c r="V57" i="4"/>
  <c r="AE57" i="4"/>
  <c r="AC57" i="4"/>
  <c r="AT57" i="4"/>
  <c r="AU57" i="4" s="1"/>
  <c r="AH57" i="4"/>
  <c r="AI57" i="4"/>
  <c r="J57" i="4"/>
  <c r="K57" i="4" s="1"/>
  <c r="L57" i="4" s="1"/>
  <c r="R57" i="4"/>
  <c r="U57" i="4"/>
  <c r="B20" i="14"/>
  <c r="AF57" i="4"/>
  <c r="P57" i="4"/>
  <c r="AJ57" i="4"/>
  <c r="BK51" i="22"/>
  <c r="AD51" i="22"/>
  <c r="I59" i="24"/>
  <c r="J59" i="24" s="1"/>
  <c r="K59" i="24" s="1"/>
  <c r="L59" i="24" s="1"/>
  <c r="BI48" i="23"/>
  <c r="BG48" i="23"/>
  <c r="BF48" i="23"/>
  <c r="AI57" i="7"/>
  <c r="AJ57" i="7" s="1"/>
  <c r="I58" i="4"/>
  <c r="S58" i="4" s="1"/>
  <c r="AQ58" i="24"/>
  <c r="AW59" i="24"/>
  <c r="E60" i="24" s="1"/>
  <c r="AV59" i="24"/>
  <c r="D60" i="24" s="1"/>
  <c r="U60" i="24" s="1"/>
  <c r="B60" i="24"/>
  <c r="Z59" i="24"/>
  <c r="G49" i="23"/>
  <c r="X49" i="23" s="1"/>
  <c r="AQ48" i="26"/>
  <c r="AN60" i="21"/>
  <c r="AO61" i="29"/>
  <c r="Z62" i="29"/>
  <c r="B63" i="29"/>
  <c r="S63" i="29" s="1"/>
  <c r="AN61" i="29"/>
  <c r="B49" i="26"/>
  <c r="S49" i="26" s="1"/>
  <c r="BL48" i="26"/>
  <c r="P62" i="25"/>
  <c r="V62" i="25"/>
  <c r="AE62" i="25"/>
  <c r="R62" i="25"/>
  <c r="AF62" i="25"/>
  <c r="Y61" i="25"/>
  <c r="AS62" i="25"/>
  <c r="H63" i="25" s="1"/>
  <c r="AM62" i="25"/>
  <c r="B63" i="25" s="1"/>
  <c r="J62" i="25"/>
  <c r="K62" i="25" s="1"/>
  <c r="L62" i="25" s="1"/>
  <c r="AR62" i="25"/>
  <c r="G63" i="25" s="1"/>
  <c r="AJ62" i="25"/>
  <c r="AP62" i="25"/>
  <c r="E63" i="25" s="1"/>
  <c r="AT62" i="25"/>
  <c r="AU62" i="25" s="1"/>
  <c r="AO62" i="25"/>
  <c r="D63" i="25" s="1"/>
  <c r="AC62" i="25"/>
  <c r="AI62" i="25"/>
  <c r="U62" i="25"/>
  <c r="AH62" i="25"/>
  <c r="AO48" i="23"/>
  <c r="AO60" i="21"/>
  <c r="BD48" i="23"/>
  <c r="BJ48" i="23"/>
  <c r="H49" i="23" s="1"/>
  <c r="Y49" i="23" s="1"/>
  <c r="Z61" i="21"/>
  <c r="AG61" i="21" s="1"/>
  <c r="B62" i="21"/>
  <c r="AP48" i="23"/>
  <c r="AT48" i="20"/>
  <c r="AA48" i="20"/>
  <c r="AB48" i="20" s="1"/>
  <c r="AC48" i="20" s="1"/>
  <c r="AD48" i="20"/>
  <c r="BA48" i="20"/>
  <c r="BK48" i="20"/>
  <c r="AI48" i="20"/>
  <c r="AU48" i="20"/>
  <c r="AZ48" i="20"/>
  <c r="AL48" i="20"/>
  <c r="AN48" i="20"/>
  <c r="AX48" i="20"/>
  <c r="AP56" i="9"/>
  <c r="AP52" i="10"/>
  <c r="X57" i="7"/>
  <c r="AO52" i="10"/>
  <c r="AM56" i="12"/>
  <c r="W57" i="7"/>
  <c r="AG57" i="9"/>
  <c r="AL57" i="9"/>
  <c r="I58" i="9"/>
  <c r="S58" i="9"/>
  <c r="AA57" i="9"/>
  <c r="AB57" i="9" s="1"/>
  <c r="AC57" i="9" s="1"/>
  <c r="AJ57" i="9"/>
  <c r="AM57" i="9"/>
  <c r="AD57" i="9"/>
  <c r="AI57" i="9"/>
  <c r="X54" i="10"/>
  <c r="X57" i="12"/>
  <c r="I58" i="7"/>
  <c r="S57" i="12"/>
  <c r="I57" i="12"/>
  <c r="J53" i="10"/>
  <c r="K53" i="10" s="1"/>
  <c r="L53" i="10" s="1"/>
  <c r="AZ58" i="12"/>
  <c r="H59" i="12" s="1"/>
  <c r="Y59" i="12" s="1"/>
  <c r="AA56" i="12"/>
  <c r="AB56" i="12" s="1"/>
  <c r="AC56" i="12" s="1"/>
  <c r="AD56" i="12"/>
  <c r="BV56" i="12"/>
  <c r="BB56" i="12"/>
  <c r="BA56" i="12"/>
  <c r="AN56" i="12"/>
  <c r="AJ56" i="12"/>
  <c r="AK56" i="12"/>
  <c r="BR56" i="12"/>
  <c r="BU56" i="12"/>
  <c r="BQ56" i="12"/>
  <c r="BD53" i="10"/>
  <c r="B54" i="10" s="1"/>
  <c r="Z53" i="10"/>
  <c r="AV58" i="12"/>
  <c r="D59" i="12" s="1"/>
  <c r="U59" i="12" s="1"/>
  <c r="BO56" i="12"/>
  <c r="BT56" i="12"/>
  <c r="AW58" i="12"/>
  <c r="E59" i="12" s="1"/>
  <c r="V59" i="12" s="1"/>
  <c r="AV51" i="22" l="1"/>
  <c r="AW51" i="22"/>
  <c r="BA51" i="22"/>
  <c r="AA51" i="22"/>
  <c r="AB51" i="22" s="1"/>
  <c r="AC51" i="22" s="1"/>
  <c r="AN51" i="22"/>
  <c r="AZ51" i="22"/>
  <c r="AY51" i="22"/>
  <c r="AK51" i="22"/>
  <c r="AJ51" i="22"/>
  <c r="AM51" i="22"/>
  <c r="AH51" i="22"/>
  <c r="X57" i="4"/>
  <c r="W57" i="4"/>
  <c r="BI51" i="22"/>
  <c r="G52" i="22" s="1"/>
  <c r="X52" i="22" s="1"/>
  <c r="BI52" i="22" s="1"/>
  <c r="BG51" i="22"/>
  <c r="E52" i="22" s="1"/>
  <c r="V52" i="22" s="1"/>
  <c r="BG52" i="22" s="1"/>
  <c r="BJ51" i="22"/>
  <c r="H52" i="22" s="1"/>
  <c r="Y52" i="22" s="1"/>
  <c r="BJ52" i="22" s="1"/>
  <c r="BD51" i="22"/>
  <c r="BF51" i="22"/>
  <c r="D52" i="22" s="1"/>
  <c r="U52" i="22" s="1"/>
  <c r="BF52" i="22" s="1"/>
  <c r="D49" i="23"/>
  <c r="U49" i="23" s="1"/>
  <c r="E49" i="23"/>
  <c r="V49" i="23" s="1"/>
  <c r="R58" i="4"/>
  <c r="V58" i="4"/>
  <c r="AC58" i="4"/>
  <c r="AT58" i="4"/>
  <c r="B21" i="14"/>
  <c r="J58" i="4"/>
  <c r="K58" i="4" s="1"/>
  <c r="L58" i="4" s="1"/>
  <c r="AI58" i="4"/>
  <c r="P58" i="4"/>
  <c r="AE58" i="4"/>
  <c r="AJ58" i="4"/>
  <c r="U58" i="4"/>
  <c r="AH58" i="4"/>
  <c r="AF58" i="4"/>
  <c r="S60" i="24"/>
  <c r="AT60" i="24" s="1"/>
  <c r="B61" i="24" s="1"/>
  <c r="V60" i="24"/>
  <c r="AV60" i="24"/>
  <c r="D61" i="24" s="1"/>
  <c r="AD59" i="24"/>
  <c r="AJ59" i="24"/>
  <c r="AM59" i="24"/>
  <c r="BO59" i="24"/>
  <c r="BU59" i="24"/>
  <c r="BV59" i="24"/>
  <c r="AH59" i="24"/>
  <c r="BA59" i="24"/>
  <c r="BR59" i="24"/>
  <c r="BT59" i="24"/>
  <c r="AK59" i="24"/>
  <c r="AA59" i="24"/>
  <c r="AB59" i="24" s="1"/>
  <c r="AC59" i="24" s="1"/>
  <c r="AN59" i="24"/>
  <c r="BQ59" i="24"/>
  <c r="I60" i="24"/>
  <c r="J60" i="24" s="1"/>
  <c r="BB59" i="24"/>
  <c r="D59" i="7"/>
  <c r="AD59" i="7" s="1"/>
  <c r="H59" i="7"/>
  <c r="AH59" i="7" s="1"/>
  <c r="G59" i="7"/>
  <c r="AG59" i="7" s="1"/>
  <c r="E59" i="7"/>
  <c r="AE59" i="7" s="1"/>
  <c r="H61" i="24"/>
  <c r="Y61" i="24" s="1"/>
  <c r="G61" i="24"/>
  <c r="AP60" i="21"/>
  <c r="AQ48" i="23"/>
  <c r="AP48" i="20"/>
  <c r="AP61" i="29"/>
  <c r="I63" i="29"/>
  <c r="J63" i="29" s="1"/>
  <c r="K63" i="29" s="1"/>
  <c r="L63" i="29" s="1"/>
  <c r="AD62" i="29"/>
  <c r="AA62" i="29"/>
  <c r="AB62" i="29" s="1"/>
  <c r="AC62" i="29" s="1"/>
  <c r="AI62" i="29"/>
  <c r="AL62" i="29"/>
  <c r="AM62" i="29"/>
  <c r="AJ62" i="29"/>
  <c r="AG62" i="29"/>
  <c r="I49" i="26"/>
  <c r="J49" i="26" s="1"/>
  <c r="K49" i="26" s="1"/>
  <c r="L49" i="26" s="1"/>
  <c r="X62" i="25"/>
  <c r="W62" i="25"/>
  <c r="I63" i="25"/>
  <c r="R63" i="25" s="1"/>
  <c r="B49" i="23"/>
  <c r="S49" i="23" s="1"/>
  <c r="BL48" i="23"/>
  <c r="S62" i="21"/>
  <c r="I62" i="21"/>
  <c r="J62" i="21" s="1"/>
  <c r="K62" i="21" s="1"/>
  <c r="L62" i="21" s="1"/>
  <c r="AD61" i="21"/>
  <c r="AA61" i="21"/>
  <c r="AB61" i="21" s="1"/>
  <c r="AC61" i="21" s="1"/>
  <c r="AM61" i="21"/>
  <c r="AJ61" i="21"/>
  <c r="AL61" i="21"/>
  <c r="AI61" i="21"/>
  <c r="AO48" i="20"/>
  <c r="BJ48" i="20"/>
  <c r="H49" i="20" s="1"/>
  <c r="Y49" i="20" s="1"/>
  <c r="BH48" i="20"/>
  <c r="G49" i="20" s="1"/>
  <c r="X49" i="20" s="1"/>
  <c r="BE48" i="20"/>
  <c r="C49" i="20" s="1"/>
  <c r="T49" i="20" s="1"/>
  <c r="BD48" i="20"/>
  <c r="Y57" i="7"/>
  <c r="AQ52" i="10"/>
  <c r="P58" i="7"/>
  <c r="D21" i="14"/>
  <c r="AO57" i="9"/>
  <c r="AP56" i="12"/>
  <c r="AO56" i="12"/>
  <c r="AH53" i="10"/>
  <c r="AM53" i="10"/>
  <c r="AN57" i="9"/>
  <c r="Z58" i="9"/>
  <c r="AL58" i="9" s="1"/>
  <c r="B59" i="9"/>
  <c r="J58" i="9"/>
  <c r="K58" i="9" s="1"/>
  <c r="L58" i="9" s="1"/>
  <c r="BA53" i="10"/>
  <c r="AA53" i="10"/>
  <c r="AB53" i="10" s="1"/>
  <c r="AC53" i="10" s="1"/>
  <c r="AD53" i="10"/>
  <c r="BL53" i="10"/>
  <c r="BK53" i="10"/>
  <c r="AZ53" i="10"/>
  <c r="AN53" i="10"/>
  <c r="AK53" i="10"/>
  <c r="AV53" i="10"/>
  <c r="AJ53" i="10"/>
  <c r="AW53" i="10"/>
  <c r="AY53" i="10"/>
  <c r="AZ59" i="12"/>
  <c r="H60" i="12" s="1"/>
  <c r="Y60" i="12" s="1"/>
  <c r="Z57" i="12"/>
  <c r="AH57" i="12" s="1"/>
  <c r="AT57" i="12"/>
  <c r="B58" i="12" s="1"/>
  <c r="AW59" i="12"/>
  <c r="E60" i="12" s="1"/>
  <c r="V60" i="12" s="1"/>
  <c r="S54" i="10"/>
  <c r="I54" i="10"/>
  <c r="AY57" i="12"/>
  <c r="G58" i="12" s="1"/>
  <c r="AV59" i="12"/>
  <c r="D60" i="12" s="1"/>
  <c r="U60" i="12" s="1"/>
  <c r="AT53" i="10"/>
  <c r="J58" i="7"/>
  <c r="K58" i="7" s="1"/>
  <c r="L58" i="7" s="1"/>
  <c r="S58" i="7"/>
  <c r="U58" i="7"/>
  <c r="R58" i="7"/>
  <c r="V58" i="7"/>
  <c r="J57" i="12"/>
  <c r="K57" i="12" s="1"/>
  <c r="L57" i="12" s="1"/>
  <c r="AP51" i="22" l="1"/>
  <c r="AO51" i="22"/>
  <c r="AQ51" i="22"/>
  <c r="Y57" i="4"/>
  <c r="AU58" i="4"/>
  <c r="G59" i="4"/>
  <c r="AR59" i="4" s="1"/>
  <c r="B59" i="4"/>
  <c r="E59" i="4"/>
  <c r="AP59" i="4" s="1"/>
  <c r="D59" i="4"/>
  <c r="AO59" i="4" s="1"/>
  <c r="H59" i="4"/>
  <c r="AS59" i="4" s="1"/>
  <c r="B52" i="22"/>
  <c r="BL51" i="22"/>
  <c r="AI58" i="7"/>
  <c r="AJ58" i="7" s="1"/>
  <c r="X58" i="4"/>
  <c r="W58" i="4"/>
  <c r="G53" i="22"/>
  <c r="X53" i="22" s="1"/>
  <c r="BI53" i="22" s="1"/>
  <c r="E53" i="22"/>
  <c r="V53" i="22" s="1"/>
  <c r="BG53" i="22" s="1"/>
  <c r="H53" i="22"/>
  <c r="Y53" i="22" s="1"/>
  <c r="BJ53" i="22" s="1"/>
  <c r="D53" i="22"/>
  <c r="U53" i="22" s="1"/>
  <c r="BF53" i="22" s="1"/>
  <c r="B59" i="7"/>
  <c r="AB59" i="7" s="1"/>
  <c r="S61" i="24"/>
  <c r="AT61" i="24" s="1"/>
  <c r="X61" i="24"/>
  <c r="AY61" i="24" s="1"/>
  <c r="U61" i="24"/>
  <c r="AV61" i="24" s="1"/>
  <c r="AW60" i="24"/>
  <c r="E61" i="24" s="1"/>
  <c r="I61" i="24" s="1"/>
  <c r="J61" i="24" s="1"/>
  <c r="K61" i="24" s="1"/>
  <c r="L61" i="24" s="1"/>
  <c r="Z60" i="24"/>
  <c r="K60" i="24"/>
  <c r="I69" i="24"/>
  <c r="AO59" i="24"/>
  <c r="AP59" i="24"/>
  <c r="AZ61" i="24"/>
  <c r="AQ48" i="20"/>
  <c r="Z63" i="29"/>
  <c r="B64" i="29"/>
  <c r="S64" i="29" s="1"/>
  <c r="AO62" i="29"/>
  <c r="AN62" i="29"/>
  <c r="Z49" i="26"/>
  <c r="AT49" i="26" s="1"/>
  <c r="Y62" i="25"/>
  <c r="AC63" i="25"/>
  <c r="AF63" i="25"/>
  <c r="S63" i="25"/>
  <c r="AE63" i="25"/>
  <c r="AI63" i="25"/>
  <c r="AH63" i="25"/>
  <c r="P63" i="25"/>
  <c r="AP63" i="25"/>
  <c r="E64" i="25" s="1"/>
  <c r="E65" i="25" s="1"/>
  <c r="AJ63" i="25"/>
  <c r="AO63" i="25"/>
  <c r="D64" i="25" s="1"/>
  <c r="D65" i="25" s="1"/>
  <c r="J63" i="25"/>
  <c r="K63" i="25" s="1"/>
  <c r="L63" i="25" s="1"/>
  <c r="AT63" i="25"/>
  <c r="AU63" i="25" s="1"/>
  <c r="AM63" i="25"/>
  <c r="B64" i="25" s="1"/>
  <c r="B65" i="25" s="1"/>
  <c r="AS63" i="25"/>
  <c r="H64" i="25" s="1"/>
  <c r="H65" i="25" s="1"/>
  <c r="AR63" i="25"/>
  <c r="G64" i="25" s="1"/>
  <c r="G65" i="25" s="1"/>
  <c r="U63" i="25"/>
  <c r="V63" i="25"/>
  <c r="AO61" i="21"/>
  <c r="I49" i="23"/>
  <c r="J49" i="23" s="1"/>
  <c r="K49" i="23" s="1"/>
  <c r="L49" i="23" s="1"/>
  <c r="Z62" i="21"/>
  <c r="AG62" i="21" s="1"/>
  <c r="B63" i="21"/>
  <c r="AN61" i="21"/>
  <c r="B49" i="20"/>
  <c r="BL48" i="20"/>
  <c r="AP57" i="9"/>
  <c r="X58" i="7"/>
  <c r="AP53" i="10"/>
  <c r="AQ56" i="12"/>
  <c r="AO53" i="10"/>
  <c r="AM57" i="12"/>
  <c r="W58" i="7"/>
  <c r="BT57" i="12"/>
  <c r="S59" i="9"/>
  <c r="I59" i="9"/>
  <c r="AG58" i="9"/>
  <c r="AJ58" i="9"/>
  <c r="AD58" i="9"/>
  <c r="AM58" i="9"/>
  <c r="AA58" i="9"/>
  <c r="AB58" i="9" s="1"/>
  <c r="AC58" i="9" s="1"/>
  <c r="AI58" i="9"/>
  <c r="BO57" i="12"/>
  <c r="X58" i="12"/>
  <c r="J54" i="10"/>
  <c r="K54" i="10" s="1"/>
  <c r="L54" i="10" s="1"/>
  <c r="S58" i="12"/>
  <c r="I58" i="12"/>
  <c r="Z54" i="10"/>
  <c r="AA57" i="12"/>
  <c r="AB57" i="12" s="1"/>
  <c r="AC57" i="12" s="1"/>
  <c r="BB57" i="12"/>
  <c r="BV57" i="12"/>
  <c r="BA57" i="12"/>
  <c r="AD57" i="12"/>
  <c r="BR57" i="12"/>
  <c r="BQ57" i="12"/>
  <c r="AK57" i="12"/>
  <c r="AJ57" i="12"/>
  <c r="BU57" i="12"/>
  <c r="AN57" i="12"/>
  <c r="S52" i="22" l="1"/>
  <c r="I52" i="22"/>
  <c r="J52" i="22" s="1"/>
  <c r="K52" i="22" s="1"/>
  <c r="L52" i="22" s="1"/>
  <c r="AM59" i="4"/>
  <c r="B60" i="4" s="1"/>
  <c r="I59" i="4"/>
  <c r="Y58" i="4"/>
  <c r="I59" i="7"/>
  <c r="D60" i="4"/>
  <c r="H60" i="4"/>
  <c r="G60" i="4"/>
  <c r="E60" i="4"/>
  <c r="BB60" i="24"/>
  <c r="AD60" i="24"/>
  <c r="AM60" i="24"/>
  <c r="AN60" i="24"/>
  <c r="BO60" i="24"/>
  <c r="BQ60" i="24"/>
  <c r="BT60" i="24"/>
  <c r="BA60" i="24"/>
  <c r="AJ60" i="24"/>
  <c r="AH60" i="24"/>
  <c r="BU60" i="24"/>
  <c r="AA60" i="24"/>
  <c r="AB60" i="24" s="1"/>
  <c r="AC60" i="24" s="1"/>
  <c r="BV60" i="24"/>
  <c r="AK60" i="24"/>
  <c r="V61" i="24"/>
  <c r="AW61" i="24" s="1"/>
  <c r="BR60" i="24"/>
  <c r="AQ59" i="24"/>
  <c r="L60" i="24"/>
  <c r="I70" i="24"/>
  <c r="D60" i="7"/>
  <c r="AD60" i="7" s="1"/>
  <c r="H60" i="7"/>
  <c r="AH60" i="7" s="1"/>
  <c r="B60" i="7"/>
  <c r="AB60" i="7" s="1"/>
  <c r="E60" i="7"/>
  <c r="AE60" i="7" s="1"/>
  <c r="G60" i="7"/>
  <c r="AG60" i="7" s="1"/>
  <c r="S65" i="29"/>
  <c r="B65" i="29"/>
  <c r="AP61" i="21"/>
  <c r="AP62" i="29"/>
  <c r="I64" i="29"/>
  <c r="J64" i="29" s="1"/>
  <c r="K64" i="29" s="1"/>
  <c r="L64" i="29" s="1"/>
  <c r="AD63" i="29"/>
  <c r="AA63" i="29"/>
  <c r="AB63" i="29" s="1"/>
  <c r="AC63" i="29" s="1"/>
  <c r="AL63" i="29"/>
  <c r="AJ63" i="29"/>
  <c r="AI63" i="29"/>
  <c r="AM63" i="29"/>
  <c r="AG63" i="29"/>
  <c r="BK49" i="26"/>
  <c r="AD49" i="26"/>
  <c r="BA49" i="26"/>
  <c r="AA49" i="26"/>
  <c r="AB49" i="26" s="1"/>
  <c r="AC49" i="26" s="1"/>
  <c r="AY49" i="26"/>
  <c r="AI49" i="26"/>
  <c r="AM49" i="26"/>
  <c r="AU49" i="26"/>
  <c r="AN49" i="26"/>
  <c r="AZ49" i="26"/>
  <c r="AH49" i="26"/>
  <c r="W63" i="25"/>
  <c r="X63" i="25"/>
  <c r="I64" i="25"/>
  <c r="I63" i="21"/>
  <c r="J63" i="21" s="1"/>
  <c r="K63" i="21" s="1"/>
  <c r="L63" i="21" s="1"/>
  <c r="S63" i="21"/>
  <c r="AA62" i="21"/>
  <c r="AB62" i="21" s="1"/>
  <c r="AC62" i="21" s="1"/>
  <c r="AD62" i="21"/>
  <c r="AI62" i="21"/>
  <c r="AM62" i="21"/>
  <c r="AJ62" i="21"/>
  <c r="AL62" i="21"/>
  <c r="Z49" i="23"/>
  <c r="AT49" i="23" s="1"/>
  <c r="I49" i="20"/>
  <c r="J49" i="20" s="1"/>
  <c r="K49" i="20" s="1"/>
  <c r="L49" i="20" s="1"/>
  <c r="S49" i="20"/>
  <c r="AO58" i="9"/>
  <c r="AP57" i="12"/>
  <c r="Y58" i="7"/>
  <c r="P59" i="7"/>
  <c r="D22" i="14"/>
  <c r="AQ53" i="10"/>
  <c r="AO57" i="12"/>
  <c r="AT54" i="10"/>
  <c r="AM54" i="10"/>
  <c r="Z59" i="9"/>
  <c r="B60" i="9"/>
  <c r="AN58" i="9"/>
  <c r="J59" i="9"/>
  <c r="K59" i="9" s="1"/>
  <c r="L59" i="9" s="1"/>
  <c r="BK54" i="10"/>
  <c r="AA54" i="10"/>
  <c r="AB54" i="10" s="1"/>
  <c r="AC54" i="10" s="1"/>
  <c r="BA54" i="10"/>
  <c r="AD54" i="10"/>
  <c r="AZ54" i="10"/>
  <c r="AN54" i="10"/>
  <c r="AV54" i="10"/>
  <c r="AJ54" i="10"/>
  <c r="AW54" i="10"/>
  <c r="AK54" i="10"/>
  <c r="AY54" i="10"/>
  <c r="J58" i="12"/>
  <c r="K58" i="12" s="1"/>
  <c r="L58" i="12" s="1"/>
  <c r="AY58" i="12"/>
  <c r="G59" i="12" s="1"/>
  <c r="Z58" i="12"/>
  <c r="AH58" i="12" s="1"/>
  <c r="AT58" i="12"/>
  <c r="B59" i="12" s="1"/>
  <c r="AH54" i="10"/>
  <c r="J59" i="7"/>
  <c r="K59" i="7" s="1"/>
  <c r="L59" i="7" s="1"/>
  <c r="R59" i="7"/>
  <c r="S59" i="7"/>
  <c r="U59" i="7"/>
  <c r="V59" i="7"/>
  <c r="BD52" i="22" l="1"/>
  <c r="Z52" i="22"/>
  <c r="AT52" i="22" s="1"/>
  <c r="S59" i="4"/>
  <c r="J59" i="4"/>
  <c r="K59" i="4" s="1"/>
  <c r="L59" i="4" s="1"/>
  <c r="P59" i="4"/>
  <c r="R59" i="4"/>
  <c r="AT59" i="4"/>
  <c r="AU59" i="4" s="1"/>
  <c r="B22" i="14"/>
  <c r="AF59" i="4"/>
  <c r="AJ59" i="4"/>
  <c r="AE59" i="4"/>
  <c r="AC59" i="4"/>
  <c r="AI59" i="4"/>
  <c r="AH59" i="4"/>
  <c r="U59" i="4"/>
  <c r="V59" i="4"/>
  <c r="I60" i="4"/>
  <c r="U60" i="4" s="1"/>
  <c r="Z61" i="24"/>
  <c r="AN61" i="24" s="1"/>
  <c r="AO60" i="24"/>
  <c r="AP60" i="24"/>
  <c r="D54" i="22"/>
  <c r="U54" i="22" s="1"/>
  <c r="E54" i="22"/>
  <c r="V54" i="22" s="1"/>
  <c r="G54" i="22"/>
  <c r="X54" i="22" s="1"/>
  <c r="H54" i="22"/>
  <c r="Y54" i="22" s="1"/>
  <c r="AI59" i="7"/>
  <c r="AJ59" i="7" s="1"/>
  <c r="D62" i="24"/>
  <c r="U62" i="24" s="1"/>
  <c r="G62" i="24"/>
  <c r="X62" i="24" s="1"/>
  <c r="H62" i="24"/>
  <c r="Y62" i="24" s="1"/>
  <c r="S64" i="25"/>
  <c r="Z64" i="29"/>
  <c r="AO63" i="29"/>
  <c r="AN63" i="29"/>
  <c r="AP49" i="26"/>
  <c r="AO49" i="26"/>
  <c r="BD49" i="26"/>
  <c r="BJ49" i="26"/>
  <c r="H50" i="26" s="1"/>
  <c r="Y50" i="26" s="1"/>
  <c r="BI49" i="26"/>
  <c r="G50" i="26" s="1"/>
  <c r="BE49" i="26"/>
  <c r="C50" i="26" s="1"/>
  <c r="U64" i="25"/>
  <c r="V64" i="25"/>
  <c r="Y63" i="25"/>
  <c r="AS64" i="25"/>
  <c r="AM64" i="25"/>
  <c r="J64" i="25"/>
  <c r="K64" i="25" s="1"/>
  <c r="L64" i="25" s="1"/>
  <c r="AT64" i="25"/>
  <c r="AU64" i="25" s="1"/>
  <c r="AR64" i="25"/>
  <c r="AJ64" i="25"/>
  <c r="AP64" i="25"/>
  <c r="AO64" i="25"/>
  <c r="R64" i="25"/>
  <c r="AH64" i="25"/>
  <c r="AC64" i="25"/>
  <c r="AE64" i="25"/>
  <c r="AF64" i="25"/>
  <c r="P64" i="25"/>
  <c r="AI64" i="25"/>
  <c r="AN62" i="21"/>
  <c r="AD49" i="23"/>
  <c r="AA49" i="23"/>
  <c r="AB49" i="23" s="1"/>
  <c r="AC49" i="23" s="1"/>
  <c r="BK49" i="23"/>
  <c r="BA49" i="23"/>
  <c r="AM49" i="23"/>
  <c r="AY49" i="23"/>
  <c r="AI49" i="23"/>
  <c r="AZ49" i="23"/>
  <c r="AN49" i="23"/>
  <c r="AU49" i="23"/>
  <c r="AH49" i="23"/>
  <c r="B62" i="24"/>
  <c r="E62" i="24"/>
  <c r="V62" i="24" s="1"/>
  <c r="Z63" i="21"/>
  <c r="AG63" i="21" s="1"/>
  <c r="B64" i="21"/>
  <c r="AO62" i="21"/>
  <c r="Z49" i="20"/>
  <c r="AT49" i="20" s="1"/>
  <c r="AP58" i="9"/>
  <c r="AQ57" i="12"/>
  <c r="X59" i="7"/>
  <c r="AP54" i="10"/>
  <c r="AO54" i="10"/>
  <c r="AM58" i="12"/>
  <c r="W59" i="7"/>
  <c r="AG59" i="9"/>
  <c r="AL59" i="9"/>
  <c r="I60" i="9"/>
  <c r="S60" i="9"/>
  <c r="AJ59" i="9"/>
  <c r="AA59" i="9"/>
  <c r="AB59" i="9" s="1"/>
  <c r="AC59" i="9" s="1"/>
  <c r="AM59" i="9"/>
  <c r="AD59" i="9"/>
  <c r="AI59" i="9"/>
  <c r="AA58" i="12"/>
  <c r="AB58" i="12" s="1"/>
  <c r="AC58" i="12" s="1"/>
  <c r="BV58" i="12"/>
  <c r="BB58" i="12"/>
  <c r="AD58" i="12"/>
  <c r="BA58" i="12"/>
  <c r="BU58" i="12"/>
  <c r="BR58" i="12"/>
  <c r="BQ58" i="12"/>
  <c r="AN58" i="12"/>
  <c r="AJ58" i="12"/>
  <c r="AK58" i="12"/>
  <c r="BO58" i="12"/>
  <c r="BD54" i="10"/>
  <c r="BF54" i="10"/>
  <c r="D55" i="10" s="1"/>
  <c r="U55" i="10" s="1"/>
  <c r="BG54" i="10"/>
  <c r="E55" i="10" s="1"/>
  <c r="V55" i="10" s="1"/>
  <c r="BI54" i="10"/>
  <c r="G55" i="10" s="1"/>
  <c r="BJ54" i="10"/>
  <c r="H55" i="10" s="1"/>
  <c r="Y55" i="10" s="1"/>
  <c r="I60" i="7"/>
  <c r="BT58" i="12"/>
  <c r="S59" i="12"/>
  <c r="I59" i="12"/>
  <c r="X59" i="12"/>
  <c r="W59" i="4" l="1"/>
  <c r="X59" i="4"/>
  <c r="AH52" i="22"/>
  <c r="AK52" i="22"/>
  <c r="AA52" i="22"/>
  <c r="AB52" i="22" s="1"/>
  <c r="AC52" i="22" s="1"/>
  <c r="BK52" i="22"/>
  <c r="AD52" i="22"/>
  <c r="BA52" i="22"/>
  <c r="AZ52" i="22"/>
  <c r="AW52" i="22"/>
  <c r="AN52" i="22"/>
  <c r="AJ52" i="22"/>
  <c r="AV52" i="22"/>
  <c r="AY52" i="22"/>
  <c r="AM52" i="22"/>
  <c r="B53" i="22"/>
  <c r="BL52" i="22"/>
  <c r="BO61" i="24"/>
  <c r="BI49" i="23"/>
  <c r="G50" i="23" s="1"/>
  <c r="X50" i="23" s="1"/>
  <c r="BG49" i="23"/>
  <c r="E50" i="23" s="1"/>
  <c r="V50" i="23" s="1"/>
  <c r="BF49" i="23"/>
  <c r="D50" i="23" s="1"/>
  <c r="U50" i="23" s="1"/>
  <c r="V60" i="4"/>
  <c r="R60" i="4"/>
  <c r="P60" i="4"/>
  <c r="B23" i="14"/>
  <c r="AF60" i="4"/>
  <c r="AJ60" i="4"/>
  <c r="AC60" i="4"/>
  <c r="AT60" i="4"/>
  <c r="J60" i="4"/>
  <c r="AH60" i="4"/>
  <c r="AE60" i="4"/>
  <c r="S60" i="4"/>
  <c r="AI60" i="4"/>
  <c r="BA61" i="24"/>
  <c r="AA61" i="24"/>
  <c r="AB61" i="24" s="1"/>
  <c r="AC61" i="24" s="1"/>
  <c r="BT61" i="24"/>
  <c r="AM61" i="24"/>
  <c r="BR61" i="24"/>
  <c r="BV61" i="24"/>
  <c r="AK61" i="24"/>
  <c r="AD61" i="24"/>
  <c r="AH61" i="24"/>
  <c r="AJ61" i="24"/>
  <c r="BQ61" i="24"/>
  <c r="BU61" i="24"/>
  <c r="AQ60" i="24"/>
  <c r="AP62" i="21"/>
  <c r="D23" i="14"/>
  <c r="B61" i="7"/>
  <c r="AB61" i="7" s="1"/>
  <c r="G61" i="7"/>
  <c r="AG61" i="7" s="1"/>
  <c r="E61" i="7"/>
  <c r="AE61" i="7" s="1"/>
  <c r="D61" i="7"/>
  <c r="AD61" i="7" s="1"/>
  <c r="AQ49" i="26"/>
  <c r="AP63" i="29"/>
  <c r="AD64" i="29"/>
  <c r="AA64" i="29"/>
  <c r="AB64" i="29" s="1"/>
  <c r="AC64" i="29" s="1"/>
  <c r="AJ64" i="29"/>
  <c r="AI64" i="29"/>
  <c r="AM64" i="29"/>
  <c r="AL64" i="29"/>
  <c r="AG64" i="29"/>
  <c r="B50" i="26"/>
  <c r="S50" i="26" s="1"/>
  <c r="BL49" i="26"/>
  <c r="W64" i="25"/>
  <c r="X64" i="25"/>
  <c r="AP49" i="23"/>
  <c r="AO49" i="23"/>
  <c r="AW62" i="24"/>
  <c r="E63" i="24" s="1"/>
  <c r="V63" i="24" s="1"/>
  <c r="AZ62" i="24"/>
  <c r="H63" i="24" s="1"/>
  <c r="Y63" i="24" s="1"/>
  <c r="AY62" i="24"/>
  <c r="G63" i="24" s="1"/>
  <c r="X63" i="24" s="1"/>
  <c r="I62" i="24"/>
  <c r="J62" i="24" s="1"/>
  <c r="K62" i="24" s="1"/>
  <c r="L62" i="24" s="1"/>
  <c r="S62" i="24"/>
  <c r="S64" i="21"/>
  <c r="S65" i="21" s="1"/>
  <c r="I64" i="21"/>
  <c r="J64" i="21" s="1"/>
  <c r="K64" i="21" s="1"/>
  <c r="L64" i="21" s="1"/>
  <c r="BJ49" i="23"/>
  <c r="H50" i="23" s="1"/>
  <c r="Y50" i="23" s="1"/>
  <c r="BD49" i="23"/>
  <c r="AD63" i="21"/>
  <c r="AA63" i="21"/>
  <c r="AB63" i="21" s="1"/>
  <c r="AC63" i="21" s="1"/>
  <c r="AL63" i="21"/>
  <c r="AI63" i="21"/>
  <c r="AJ63" i="21"/>
  <c r="AM63" i="21"/>
  <c r="BB61" i="24"/>
  <c r="AV62" i="24"/>
  <c r="D63" i="24" s="1"/>
  <c r="U63" i="24" s="1"/>
  <c r="AH49" i="20"/>
  <c r="AA49" i="20"/>
  <c r="AB49" i="20" s="1"/>
  <c r="AC49" i="20" s="1"/>
  <c r="BA49" i="20"/>
  <c r="BK49" i="20"/>
  <c r="AD49" i="20"/>
  <c r="AU49" i="20"/>
  <c r="AN49" i="20"/>
  <c r="AI49" i="20"/>
  <c r="AM49" i="20"/>
  <c r="AY49" i="20"/>
  <c r="AZ49" i="20"/>
  <c r="Y59" i="7"/>
  <c r="AO59" i="9"/>
  <c r="AP58" i="12"/>
  <c r="AQ54" i="10"/>
  <c r="AO58" i="12"/>
  <c r="AN59" i="9"/>
  <c r="Z60" i="9"/>
  <c r="B61" i="9"/>
  <c r="J60" i="9"/>
  <c r="AY59" i="12"/>
  <c r="G60" i="12" s="1"/>
  <c r="J60" i="7"/>
  <c r="U60" i="7"/>
  <c r="S60" i="7"/>
  <c r="R60" i="7"/>
  <c r="V60" i="7"/>
  <c r="J59" i="12"/>
  <c r="K59" i="12" s="1"/>
  <c r="L59" i="12" s="1"/>
  <c r="B55" i="10"/>
  <c r="BL54" i="10"/>
  <c r="Z59" i="12"/>
  <c r="BO59" i="12" s="1"/>
  <c r="AT59" i="12"/>
  <c r="B60" i="12" s="1"/>
  <c r="X55" i="10"/>
  <c r="P60" i="7"/>
  <c r="Y59" i="4" l="1"/>
  <c r="AP52" i="22"/>
  <c r="AO52" i="22"/>
  <c r="S53" i="22"/>
  <c r="I53" i="22"/>
  <c r="J53" i="22" s="1"/>
  <c r="K53" i="22" s="1"/>
  <c r="L53" i="22" s="1"/>
  <c r="E61" i="4"/>
  <c r="I69" i="4"/>
  <c r="B10" i="8" s="1"/>
  <c r="H10" i="8" s="1"/>
  <c r="K60" i="4"/>
  <c r="H61" i="4"/>
  <c r="AU60" i="4"/>
  <c r="D61" i="4"/>
  <c r="B61" i="4"/>
  <c r="G61" i="4"/>
  <c r="X60" i="4"/>
  <c r="W60" i="4"/>
  <c r="AO61" i="24"/>
  <c r="AP61" i="24"/>
  <c r="B65" i="21"/>
  <c r="AO64" i="29"/>
  <c r="AN64" i="29"/>
  <c r="I50" i="26"/>
  <c r="J50" i="26" s="1"/>
  <c r="K50" i="26" s="1"/>
  <c r="L50" i="26" s="1"/>
  <c r="Y64" i="25"/>
  <c r="AN63" i="21"/>
  <c r="AO63" i="21"/>
  <c r="AW63" i="24"/>
  <c r="E64" i="24" s="1"/>
  <c r="V64" i="24" s="1"/>
  <c r="V65" i="24" s="1"/>
  <c r="Z64" i="21"/>
  <c r="AG64" i="21" s="1"/>
  <c r="Z62" i="24"/>
  <c r="BO62" i="24" s="1"/>
  <c r="AT62" i="24"/>
  <c r="B63" i="24" s="1"/>
  <c r="AV63" i="24"/>
  <c r="D64" i="24" s="1"/>
  <c r="U64" i="24" s="1"/>
  <c r="U65" i="24" s="1"/>
  <c r="AQ49" i="23"/>
  <c r="B50" i="23"/>
  <c r="S50" i="23" s="1"/>
  <c r="BL49" i="23"/>
  <c r="AY63" i="24"/>
  <c r="G64" i="24" s="1"/>
  <c r="X64" i="24" s="1"/>
  <c r="X65" i="24" s="1"/>
  <c r="AZ63" i="24"/>
  <c r="H64" i="24" s="1"/>
  <c r="Y64" i="24" s="1"/>
  <c r="Y65" i="24" s="1"/>
  <c r="BD49" i="20"/>
  <c r="BJ49" i="20"/>
  <c r="H50" i="20" s="1"/>
  <c r="Y50" i="20" s="1"/>
  <c r="BI49" i="20"/>
  <c r="G50" i="20" s="1"/>
  <c r="X50" i="20" s="1"/>
  <c r="BE49" i="20"/>
  <c r="C50" i="20" s="1"/>
  <c r="T50" i="20" s="1"/>
  <c r="AP49" i="20"/>
  <c r="AO49" i="20"/>
  <c r="B28" i="14"/>
  <c r="AP59" i="9"/>
  <c r="AQ58" i="12"/>
  <c r="AM59" i="12"/>
  <c r="X60" i="7"/>
  <c r="W60" i="7"/>
  <c r="AG60" i="9"/>
  <c r="AL60" i="9"/>
  <c r="AH59" i="12"/>
  <c r="K60" i="9"/>
  <c r="I74" i="9"/>
  <c r="I61" i="9"/>
  <c r="S61" i="9"/>
  <c r="AM60" i="9"/>
  <c r="AI60" i="9"/>
  <c r="AD60" i="9"/>
  <c r="AJ60" i="9"/>
  <c r="AA60" i="9"/>
  <c r="AB60" i="9" s="1"/>
  <c r="AC60" i="9" s="1"/>
  <c r="S55" i="10"/>
  <c r="I55" i="10"/>
  <c r="I69" i="7"/>
  <c r="D10" i="8" s="1"/>
  <c r="K60" i="7"/>
  <c r="S60" i="12"/>
  <c r="I60" i="12"/>
  <c r="H61" i="7"/>
  <c r="AH61" i="7" s="1"/>
  <c r="AI60" i="7"/>
  <c r="AJ60" i="7" s="1"/>
  <c r="AA59" i="12"/>
  <c r="AB59" i="12" s="1"/>
  <c r="AC59" i="12" s="1"/>
  <c r="BA59" i="12"/>
  <c r="BB59" i="12"/>
  <c r="BV59" i="12"/>
  <c r="AD59" i="12"/>
  <c r="AN59" i="12"/>
  <c r="AK59" i="12"/>
  <c r="BQ59" i="12"/>
  <c r="BU59" i="12"/>
  <c r="BR59" i="12"/>
  <c r="AJ59" i="12"/>
  <c r="BT59" i="12"/>
  <c r="X60" i="12"/>
  <c r="AQ52" i="22" l="1"/>
  <c r="Z53" i="22"/>
  <c r="AH53" i="22" s="1"/>
  <c r="BD53" i="22"/>
  <c r="Y60" i="4"/>
  <c r="I61" i="4"/>
  <c r="U61" i="4" s="1"/>
  <c r="L60" i="4"/>
  <c r="I70" i="4"/>
  <c r="B11" i="8" s="1"/>
  <c r="H11" i="8" s="1"/>
  <c r="AQ61" i="24"/>
  <c r="AH62" i="24"/>
  <c r="AP64" i="29"/>
  <c r="Z50" i="26"/>
  <c r="AT50" i="26" s="1"/>
  <c r="AP63" i="21"/>
  <c r="AY64" i="24"/>
  <c r="G65" i="24" s="1"/>
  <c r="AV64" i="24"/>
  <c r="D65" i="24" s="1"/>
  <c r="AA64" i="21"/>
  <c r="AB64" i="21" s="1"/>
  <c r="AC64" i="21" s="1"/>
  <c r="AD64" i="21"/>
  <c r="AJ64" i="21"/>
  <c r="AL64" i="21"/>
  <c r="AI64" i="21"/>
  <c r="AM64" i="21"/>
  <c r="I50" i="23"/>
  <c r="J50" i="23" s="1"/>
  <c r="K50" i="23" s="1"/>
  <c r="L50" i="23" s="1"/>
  <c r="S63" i="24"/>
  <c r="I63" i="24"/>
  <c r="J63" i="24" s="1"/>
  <c r="K63" i="24" s="1"/>
  <c r="L63" i="24" s="1"/>
  <c r="AZ64" i="24"/>
  <c r="H65" i="24" s="1"/>
  <c r="AA62" i="24"/>
  <c r="AB62" i="24" s="1"/>
  <c r="AC62" i="24" s="1"/>
  <c r="BV62" i="24"/>
  <c r="BA62" i="24"/>
  <c r="AD62" i="24"/>
  <c r="BB62" i="24"/>
  <c r="AK62" i="24"/>
  <c r="AM62" i="24"/>
  <c r="BU62" i="24"/>
  <c r="BT62" i="24"/>
  <c r="BQ62" i="24"/>
  <c r="AN62" i="24"/>
  <c r="AJ62" i="24"/>
  <c r="BR62" i="24"/>
  <c r="AW64" i="24"/>
  <c r="E65" i="24" s="1"/>
  <c r="AQ49" i="20"/>
  <c r="B50" i="20"/>
  <c r="BL49" i="20"/>
  <c r="AO60" i="9"/>
  <c r="AP59" i="12"/>
  <c r="Y60" i="7"/>
  <c r="AO59" i="12"/>
  <c r="G10" i="8"/>
  <c r="F10" i="8"/>
  <c r="AN60" i="9"/>
  <c r="Z61" i="9"/>
  <c r="AL61" i="9" s="1"/>
  <c r="B62" i="9"/>
  <c r="J61" i="9"/>
  <c r="K61" i="9" s="1"/>
  <c r="L61" i="9" s="1"/>
  <c r="I75" i="9"/>
  <c r="L60" i="9"/>
  <c r="I70" i="7"/>
  <c r="D11" i="8" s="1"/>
  <c r="L60" i="7"/>
  <c r="J55" i="10"/>
  <c r="K55" i="10" s="1"/>
  <c r="L55" i="10" s="1"/>
  <c r="I61" i="7"/>
  <c r="J60" i="12"/>
  <c r="Z55" i="10"/>
  <c r="Z60" i="12"/>
  <c r="BO60" i="12" s="1"/>
  <c r="B54" i="22" l="1"/>
  <c r="BL53" i="22"/>
  <c r="AT53" i="22"/>
  <c r="AJ53" i="22"/>
  <c r="AV53" i="22"/>
  <c r="AN53" i="22"/>
  <c r="AD53" i="22"/>
  <c r="AW53" i="22"/>
  <c r="BA53" i="22"/>
  <c r="AK53" i="22"/>
  <c r="BK53" i="22"/>
  <c r="AY53" i="22"/>
  <c r="AZ53" i="22"/>
  <c r="AM53" i="22"/>
  <c r="AA53" i="22"/>
  <c r="AB53" i="22" s="1"/>
  <c r="AC53" i="22" s="1"/>
  <c r="R61" i="4"/>
  <c r="B24" i="14"/>
  <c r="AJ61" i="4"/>
  <c r="AF61" i="4"/>
  <c r="J61" i="4"/>
  <c r="K61" i="4" s="1"/>
  <c r="L61" i="4" s="1"/>
  <c r="S61" i="4"/>
  <c r="AC61" i="4"/>
  <c r="AT61" i="4"/>
  <c r="V61" i="4"/>
  <c r="P61" i="4"/>
  <c r="AH61" i="4"/>
  <c r="AE61" i="4"/>
  <c r="AI61" i="4"/>
  <c r="AP62" i="24"/>
  <c r="AH50" i="26"/>
  <c r="BA50" i="26"/>
  <c r="AA50" i="26"/>
  <c r="AB50" i="26" s="1"/>
  <c r="AC50" i="26" s="1"/>
  <c r="BK50" i="26"/>
  <c r="AD50" i="26"/>
  <c r="AZ50" i="26"/>
  <c r="AU50" i="26"/>
  <c r="AN50" i="26"/>
  <c r="AI50" i="26"/>
  <c r="AY50" i="26"/>
  <c r="AM50" i="26"/>
  <c r="AN64" i="21"/>
  <c r="AO62" i="24"/>
  <c r="AT63" i="24"/>
  <c r="B64" i="24" s="1"/>
  <c r="Z63" i="24"/>
  <c r="Z50" i="23"/>
  <c r="AO64" i="21"/>
  <c r="I50" i="20"/>
  <c r="J50" i="20" s="1"/>
  <c r="K50" i="20" s="1"/>
  <c r="L50" i="20" s="1"/>
  <c r="S50" i="20"/>
  <c r="V61" i="7"/>
  <c r="D24" i="14"/>
  <c r="AP60" i="9"/>
  <c r="AQ59" i="12"/>
  <c r="AH55" i="10"/>
  <c r="AM55" i="10"/>
  <c r="AM60" i="12"/>
  <c r="G11" i="8"/>
  <c r="F11" i="8"/>
  <c r="I62" i="9"/>
  <c r="S62" i="9"/>
  <c r="AI61" i="9"/>
  <c r="AJ61" i="9"/>
  <c r="AA61" i="9"/>
  <c r="AB61" i="9" s="1"/>
  <c r="AC61" i="9" s="1"/>
  <c r="AM61" i="9"/>
  <c r="AD61" i="9"/>
  <c r="AG61" i="9"/>
  <c r="BT60" i="12"/>
  <c r="BK55" i="10"/>
  <c r="AD55" i="10"/>
  <c r="AA55" i="10"/>
  <c r="AB55" i="10" s="1"/>
  <c r="AC55" i="10" s="1"/>
  <c r="BA55" i="10"/>
  <c r="AJ55" i="10"/>
  <c r="AK55" i="10"/>
  <c r="AN55" i="10"/>
  <c r="AW55" i="10"/>
  <c r="AZ55" i="10"/>
  <c r="AV55" i="10"/>
  <c r="AY55" i="10"/>
  <c r="I74" i="12"/>
  <c r="G25" i="8" s="1"/>
  <c r="K60" i="12"/>
  <c r="AT55" i="10"/>
  <c r="AZ60" i="12"/>
  <c r="H61" i="12" s="1"/>
  <c r="AA60" i="12"/>
  <c r="AB60" i="12" s="1"/>
  <c r="AC60" i="12" s="1"/>
  <c r="AD60" i="12"/>
  <c r="BV60" i="12"/>
  <c r="BA60" i="12"/>
  <c r="BQ60" i="12"/>
  <c r="BR60" i="12"/>
  <c r="AN60" i="12"/>
  <c r="AJ60" i="12"/>
  <c r="AK60" i="12"/>
  <c r="BU60" i="12"/>
  <c r="AH60" i="12"/>
  <c r="G62" i="7"/>
  <c r="D62" i="7"/>
  <c r="H62" i="7"/>
  <c r="E62" i="7"/>
  <c r="R61" i="7"/>
  <c r="S61" i="7"/>
  <c r="J61" i="7"/>
  <c r="K61" i="7" s="1"/>
  <c r="L61" i="7" s="1"/>
  <c r="U61" i="7"/>
  <c r="P61" i="7"/>
  <c r="AP53" i="22" l="1"/>
  <c r="I54" i="22"/>
  <c r="J54" i="22" s="1"/>
  <c r="K54" i="22" s="1"/>
  <c r="L54" i="22" s="1"/>
  <c r="S54" i="22"/>
  <c r="AO53" i="22"/>
  <c r="AU61" i="4"/>
  <c r="G62" i="4"/>
  <c r="AR62" i="4" s="1"/>
  <c r="H62" i="4"/>
  <c r="AS62" i="4" s="1"/>
  <c r="B62" i="4"/>
  <c r="E62" i="4"/>
  <c r="AP62" i="4" s="1"/>
  <c r="D62" i="4"/>
  <c r="AO62" i="4" s="1"/>
  <c r="W61" i="4"/>
  <c r="X61" i="4"/>
  <c r="AQ62" i="24"/>
  <c r="AP64" i="21"/>
  <c r="AP50" i="26"/>
  <c r="AO50" i="26"/>
  <c r="BI50" i="26"/>
  <c r="G51" i="26" s="1"/>
  <c r="BE50" i="26"/>
  <c r="BD50" i="26"/>
  <c r="BJ50" i="26"/>
  <c r="H51" i="26" s="1"/>
  <c r="Y51" i="26" s="1"/>
  <c r="AA63" i="24"/>
  <c r="AB63" i="24" s="1"/>
  <c r="AC63" i="24" s="1"/>
  <c r="BB63" i="24"/>
  <c r="BV63" i="24"/>
  <c r="BA63" i="24"/>
  <c r="AD63" i="24"/>
  <c r="AN63" i="24"/>
  <c r="AK63" i="24"/>
  <c r="BU63" i="24"/>
  <c r="AJ63" i="24"/>
  <c r="BQ63" i="24"/>
  <c r="BT63" i="24"/>
  <c r="BR63" i="24"/>
  <c r="AM63" i="24"/>
  <c r="S64" i="24"/>
  <c r="S65" i="24" s="1"/>
  <c r="I64" i="24"/>
  <c r="J64" i="24" s="1"/>
  <c r="K64" i="24" s="1"/>
  <c r="L64" i="24" s="1"/>
  <c r="AH63" i="24"/>
  <c r="AA50" i="23"/>
  <c r="AB50" i="23" s="1"/>
  <c r="AC50" i="23" s="1"/>
  <c r="BA50" i="23"/>
  <c r="BK50" i="23"/>
  <c r="AD50" i="23"/>
  <c r="AI50" i="23"/>
  <c r="AU50" i="23"/>
  <c r="AM50" i="23"/>
  <c r="AY50" i="23"/>
  <c r="AN50" i="23"/>
  <c r="AZ50" i="23"/>
  <c r="BO63" i="24"/>
  <c r="AH50" i="23"/>
  <c r="AT50" i="23"/>
  <c r="Z50" i="20"/>
  <c r="AT50" i="20" s="1"/>
  <c r="B30" i="14"/>
  <c r="B29" i="14"/>
  <c r="AO61" i="9"/>
  <c r="AP55" i="10"/>
  <c r="AP60" i="12"/>
  <c r="X61" i="7"/>
  <c r="AO60" i="12"/>
  <c r="AO55" i="10"/>
  <c r="BB60" i="12"/>
  <c r="J62" i="9"/>
  <c r="K62" i="9" s="1"/>
  <c r="L62" i="9" s="1"/>
  <c r="AN61" i="9"/>
  <c r="Z62" i="9"/>
  <c r="B63" i="9"/>
  <c r="B62" i="7"/>
  <c r="AI61" i="7"/>
  <c r="AJ61" i="7" s="1"/>
  <c r="AE62" i="7"/>
  <c r="E63" i="7" s="1"/>
  <c r="Y61" i="12"/>
  <c r="I61" i="12"/>
  <c r="BD55" i="10"/>
  <c r="BF55" i="10"/>
  <c r="D56" i="10" s="1"/>
  <c r="U56" i="10" s="1"/>
  <c r="BG55" i="10"/>
  <c r="E56" i="10" s="1"/>
  <c r="V56" i="10" s="1"/>
  <c r="BI55" i="10"/>
  <c r="G56" i="10" s="1"/>
  <c r="BJ55" i="10"/>
  <c r="H56" i="10" s="1"/>
  <c r="Y56" i="10" s="1"/>
  <c r="W61" i="7"/>
  <c r="AD62" i="7"/>
  <c r="D63" i="7" s="1"/>
  <c r="AH62" i="7"/>
  <c r="H63" i="7" s="1"/>
  <c r="AG62" i="7"/>
  <c r="G63" i="7" s="1"/>
  <c r="L60" i="12"/>
  <c r="I75" i="12"/>
  <c r="G26" i="8" s="1"/>
  <c r="AQ53" i="22" l="1"/>
  <c r="Z54" i="22"/>
  <c r="AH54" i="22" s="1"/>
  <c r="AM62" i="4"/>
  <c r="I62" i="4"/>
  <c r="P62" i="4" s="1"/>
  <c r="H63" i="4"/>
  <c r="AS63" i="4" s="1"/>
  <c r="G63" i="4"/>
  <c r="AR63" i="4" s="1"/>
  <c r="E63" i="4"/>
  <c r="AP63" i="4" s="1"/>
  <c r="D63" i="4"/>
  <c r="AO63" i="4" s="1"/>
  <c r="Y61" i="4"/>
  <c r="BG50" i="23"/>
  <c r="E51" i="23" s="1"/>
  <c r="V51" i="23" s="1"/>
  <c r="BF50" i="23"/>
  <c r="D51" i="23" s="1"/>
  <c r="U51" i="23" s="1"/>
  <c r="AQ50" i="26"/>
  <c r="B51" i="26"/>
  <c r="S51" i="26" s="1"/>
  <c r="BL50" i="26"/>
  <c r="E51" i="26"/>
  <c r="D51" i="26"/>
  <c r="AO63" i="24"/>
  <c r="AP63" i="24"/>
  <c r="AT64" i="24"/>
  <c r="B65" i="24" s="1"/>
  <c r="Z64" i="24"/>
  <c r="AH64" i="24" s="1"/>
  <c r="BJ50" i="23"/>
  <c r="H51" i="23" s="1"/>
  <c r="Y51" i="23" s="1"/>
  <c r="BD50" i="23"/>
  <c r="BI50" i="23"/>
  <c r="G51" i="23" s="1"/>
  <c r="X51" i="23" s="1"/>
  <c r="AO50" i="23"/>
  <c r="AP50" i="23"/>
  <c r="AH50" i="20"/>
  <c r="AD50" i="20"/>
  <c r="AA50" i="20"/>
  <c r="AB50" i="20" s="1"/>
  <c r="AC50" i="20" s="1"/>
  <c r="BK50" i="20"/>
  <c r="BA50" i="20"/>
  <c r="AU50" i="20"/>
  <c r="AN50" i="20"/>
  <c r="AI50" i="20"/>
  <c r="AZ50" i="20"/>
  <c r="AM50" i="20"/>
  <c r="AY50" i="20"/>
  <c r="Y61" i="7"/>
  <c r="AP61" i="9"/>
  <c r="AQ55" i="10"/>
  <c r="AQ60" i="12"/>
  <c r="AG62" i="9"/>
  <c r="AL62" i="9"/>
  <c r="I63" i="9"/>
  <c r="S63" i="9"/>
  <c r="AA62" i="9"/>
  <c r="AB62" i="9" s="1"/>
  <c r="AC62" i="9" s="1"/>
  <c r="AD62" i="9"/>
  <c r="AM62" i="9"/>
  <c r="AI62" i="9"/>
  <c r="AJ62" i="9"/>
  <c r="Z61" i="12"/>
  <c r="BF56" i="10"/>
  <c r="D57" i="10" s="1"/>
  <c r="U57" i="10" s="1"/>
  <c r="BG56" i="10"/>
  <c r="E57" i="10" s="1"/>
  <c r="V57" i="10" s="1"/>
  <c r="AD63" i="7"/>
  <c r="D64" i="7" s="1"/>
  <c r="D65" i="7" s="1"/>
  <c r="AG63" i="7"/>
  <c r="G64" i="7" s="1"/>
  <c r="G65" i="7" s="1"/>
  <c r="BJ56" i="10"/>
  <c r="H57" i="10" s="1"/>
  <c r="Y57" i="10" s="1"/>
  <c r="B56" i="10"/>
  <c r="BL55" i="10"/>
  <c r="AE63" i="7"/>
  <c r="E64" i="7" s="1"/>
  <c r="E65" i="7" s="1"/>
  <c r="AB62" i="7"/>
  <c r="I62" i="7"/>
  <c r="D25" i="14" s="1"/>
  <c r="AH63" i="7"/>
  <c r="H64" i="7" s="1"/>
  <c r="H65" i="7" s="1"/>
  <c r="X56" i="10"/>
  <c r="J61" i="12"/>
  <c r="K61" i="12" s="1"/>
  <c r="L61" i="12" s="1"/>
  <c r="V62" i="4" l="1"/>
  <c r="AT54" i="22"/>
  <c r="BA54" i="22"/>
  <c r="AK54" i="22"/>
  <c r="AW54" i="22"/>
  <c r="AD54" i="22"/>
  <c r="AZ54" i="22"/>
  <c r="AN54" i="22"/>
  <c r="BK54" i="22"/>
  <c r="AJ54" i="22"/>
  <c r="AA54" i="22"/>
  <c r="AB54" i="22" s="1"/>
  <c r="AC54" i="22" s="1"/>
  <c r="AV54" i="22"/>
  <c r="AM54" i="22"/>
  <c r="AY54" i="22"/>
  <c r="S62" i="4"/>
  <c r="AJ62" i="4"/>
  <c r="B25" i="14"/>
  <c r="AC62" i="4"/>
  <c r="AF62" i="4"/>
  <c r="R62" i="4"/>
  <c r="U62" i="4"/>
  <c r="AT62" i="4"/>
  <c r="AU62" i="4" s="1"/>
  <c r="AE62" i="4"/>
  <c r="AI62" i="4"/>
  <c r="J62" i="4"/>
  <c r="K62" i="4" s="1"/>
  <c r="L62" i="4" s="1"/>
  <c r="AH62" i="4"/>
  <c r="AM67" i="4"/>
  <c r="AM69" i="4" s="1"/>
  <c r="B63" i="4"/>
  <c r="BO64" i="24"/>
  <c r="I51" i="26"/>
  <c r="J51" i="26" s="1"/>
  <c r="K51" i="26" s="1"/>
  <c r="L51" i="26" s="1"/>
  <c r="AQ63" i="24"/>
  <c r="AQ50" i="23"/>
  <c r="B51" i="23"/>
  <c r="BL50" i="23"/>
  <c r="BV64" i="24"/>
  <c r="AA64" i="24"/>
  <c r="AB64" i="24" s="1"/>
  <c r="AC64" i="24" s="1"/>
  <c r="BB64" i="24"/>
  <c r="AD64" i="24"/>
  <c r="BA64" i="24"/>
  <c r="AJ64" i="24"/>
  <c r="BT64" i="24"/>
  <c r="BU64" i="24"/>
  <c r="BQ64" i="24"/>
  <c r="AM64" i="24"/>
  <c r="BR64" i="24"/>
  <c r="AK64" i="24"/>
  <c r="AN64" i="24"/>
  <c r="AP50" i="20"/>
  <c r="AO50" i="20"/>
  <c r="BJ50" i="20"/>
  <c r="H51" i="20" s="1"/>
  <c r="Y51" i="20" s="1"/>
  <c r="BI50" i="20"/>
  <c r="G51" i="20" s="1"/>
  <c r="X51" i="20" s="1"/>
  <c r="BE50" i="20"/>
  <c r="BD50" i="20"/>
  <c r="AO62" i="9"/>
  <c r="BU61" i="12"/>
  <c r="AM61" i="12"/>
  <c r="AN62" i="9"/>
  <c r="J63" i="9"/>
  <c r="K63" i="9" s="1"/>
  <c r="L63" i="9" s="1"/>
  <c r="Z63" i="9"/>
  <c r="B64" i="9"/>
  <c r="J62" i="7"/>
  <c r="K62" i="7" s="1"/>
  <c r="L62" i="7" s="1"/>
  <c r="V62" i="7"/>
  <c r="U62" i="7"/>
  <c r="S62" i="7"/>
  <c r="R62" i="7"/>
  <c r="AE64" i="7"/>
  <c r="AG64" i="7"/>
  <c r="BF57" i="10"/>
  <c r="D58" i="10" s="1"/>
  <c r="U58" i="10" s="1"/>
  <c r="BJ57" i="10"/>
  <c r="H58" i="10" s="1"/>
  <c r="Y58" i="10" s="1"/>
  <c r="BG57" i="10"/>
  <c r="E58" i="10" s="1"/>
  <c r="V58" i="10" s="1"/>
  <c r="AN61" i="12"/>
  <c r="P62" i="7"/>
  <c r="S56" i="10"/>
  <c r="I56" i="10"/>
  <c r="AD64" i="7"/>
  <c r="B63" i="7"/>
  <c r="AI62" i="7"/>
  <c r="AJ62" i="7" s="1"/>
  <c r="BI56" i="10"/>
  <c r="G57" i="10" s="1"/>
  <c r="AH64" i="7"/>
  <c r="AV61" i="12"/>
  <c r="D62" i="12" s="1"/>
  <c r="U62" i="12" s="1"/>
  <c r="AW61" i="12"/>
  <c r="E62" i="12" s="1"/>
  <c r="V62" i="12" s="1"/>
  <c r="AY61" i="12"/>
  <c r="G62" i="12" s="1"/>
  <c r="AZ61" i="12"/>
  <c r="H62" i="12" s="1"/>
  <c r="Y62" i="12" s="1"/>
  <c r="AT61" i="12"/>
  <c r="B62" i="12" s="1"/>
  <c r="AA61" i="12"/>
  <c r="AB61" i="12" s="1"/>
  <c r="AC61" i="12" s="1"/>
  <c r="BA61" i="12"/>
  <c r="BT61" i="12"/>
  <c r="BQ61" i="12"/>
  <c r="AJ61" i="12"/>
  <c r="AH61" i="12"/>
  <c r="AD61" i="12"/>
  <c r="BO61" i="12"/>
  <c r="BR61" i="12"/>
  <c r="AK61" i="12"/>
  <c r="BV61" i="12"/>
  <c r="BG54" i="22" l="1"/>
  <c r="E55" i="22" s="1"/>
  <c r="V55" i="22" s="1"/>
  <c r="BF54" i="22"/>
  <c r="D55" i="22" s="1"/>
  <c r="U55" i="22" s="1"/>
  <c r="BJ54" i="22"/>
  <c r="H55" i="22" s="1"/>
  <c r="Y55" i="22" s="1"/>
  <c r="BD54" i="22"/>
  <c r="BI54" i="22"/>
  <c r="G55" i="22" s="1"/>
  <c r="X55" i="22" s="1"/>
  <c r="AO54" i="22"/>
  <c r="AP54" i="22"/>
  <c r="W62" i="4"/>
  <c r="X62" i="4"/>
  <c r="AM63" i="4"/>
  <c r="B64" i="4" s="1"/>
  <c r="I63" i="4"/>
  <c r="H64" i="4"/>
  <c r="E64" i="4"/>
  <c r="D64" i="4"/>
  <c r="G64" i="4"/>
  <c r="Z51" i="26"/>
  <c r="AT51" i="26" s="1"/>
  <c r="AO64" i="24"/>
  <c r="AP64" i="24"/>
  <c r="I51" i="23"/>
  <c r="J51" i="23" s="1"/>
  <c r="K51" i="23" s="1"/>
  <c r="L51" i="23" s="1"/>
  <c r="S51" i="23"/>
  <c r="B31" i="14"/>
  <c r="AQ50" i="20"/>
  <c r="D51" i="20"/>
  <c r="U51" i="20" s="1"/>
  <c r="E51" i="20"/>
  <c r="V51" i="20" s="1"/>
  <c r="B51" i="20"/>
  <c r="BL50" i="20"/>
  <c r="AP62" i="9"/>
  <c r="AP61" i="12"/>
  <c r="AO61" i="12"/>
  <c r="W62" i="7"/>
  <c r="X62" i="7"/>
  <c r="AG63" i="9"/>
  <c r="AL63" i="9"/>
  <c r="AD63" i="9"/>
  <c r="AJ63" i="9"/>
  <c r="AI63" i="9"/>
  <c r="AA63" i="9"/>
  <c r="AB63" i="9" s="1"/>
  <c r="AC63" i="9" s="1"/>
  <c r="AM63" i="9"/>
  <c r="S64" i="9"/>
  <c r="B65" i="9" s="1"/>
  <c r="I64" i="9"/>
  <c r="AW62" i="12"/>
  <c r="E63" i="12" s="1"/>
  <c r="V63" i="12" s="1"/>
  <c r="AW63" i="12" s="1"/>
  <c r="AZ62" i="12"/>
  <c r="H63" i="12" s="1"/>
  <c r="Y63" i="12" s="1"/>
  <c r="AZ63" i="12" s="1"/>
  <c r="Z56" i="10"/>
  <c r="AM56" i="10" s="1"/>
  <c r="BD56" i="10"/>
  <c r="B57" i="10" s="1"/>
  <c r="BB61" i="12"/>
  <c r="X62" i="12"/>
  <c r="AB63" i="7"/>
  <c r="I63" i="7"/>
  <c r="S62" i="12"/>
  <c r="I62" i="12"/>
  <c r="AV62" i="12"/>
  <c r="D63" i="12" s="1"/>
  <c r="U63" i="12" s="1"/>
  <c r="AV63" i="12" s="1"/>
  <c r="X57" i="10"/>
  <c r="J56" i="10"/>
  <c r="K56" i="10" s="1"/>
  <c r="L56" i="10" s="1"/>
  <c r="B55" i="22" l="1"/>
  <c r="BL54" i="22"/>
  <c r="AQ54" i="22"/>
  <c r="Y62" i="4"/>
  <c r="P63" i="4"/>
  <c r="AE63" i="4"/>
  <c r="B26" i="14"/>
  <c r="U63" i="4"/>
  <c r="AC63" i="4"/>
  <c r="AF63" i="4"/>
  <c r="AT63" i="4"/>
  <c r="AU63" i="4" s="1"/>
  <c r="AI63" i="4"/>
  <c r="R63" i="4"/>
  <c r="AJ63" i="4"/>
  <c r="V63" i="4"/>
  <c r="S63" i="4"/>
  <c r="J63" i="4"/>
  <c r="K63" i="4" s="1"/>
  <c r="L63" i="4" s="1"/>
  <c r="AH63" i="4"/>
  <c r="E65" i="4"/>
  <c r="AP64" i="4"/>
  <c r="I64" i="4"/>
  <c r="S64" i="4" s="1"/>
  <c r="I65" i="4"/>
  <c r="B6" i="8" s="1"/>
  <c r="H6" i="8" s="1"/>
  <c r="AM64" i="4"/>
  <c r="B65" i="4"/>
  <c r="G65" i="4"/>
  <c r="AR64" i="4"/>
  <c r="H65" i="4"/>
  <c r="AS64" i="4"/>
  <c r="D65" i="4"/>
  <c r="AO64" i="4"/>
  <c r="B14" i="8"/>
  <c r="AQ64" i="24"/>
  <c r="AA51" i="26"/>
  <c r="AB51" i="26" s="1"/>
  <c r="AC51" i="26" s="1"/>
  <c r="BA51" i="26"/>
  <c r="AD51" i="26"/>
  <c r="BK51" i="26"/>
  <c r="AN51" i="26"/>
  <c r="AZ51" i="26"/>
  <c r="AY51" i="26"/>
  <c r="AM51" i="26"/>
  <c r="AW51" i="26"/>
  <c r="AK51" i="26"/>
  <c r="AV51" i="26"/>
  <c r="AJ51" i="26"/>
  <c r="AH51" i="26"/>
  <c r="Z51" i="23"/>
  <c r="AT51" i="23" s="1"/>
  <c r="S51" i="20"/>
  <c r="I51" i="20"/>
  <c r="J51" i="20" s="1"/>
  <c r="K51" i="20" s="1"/>
  <c r="L51" i="20" s="1"/>
  <c r="I65" i="9"/>
  <c r="J65" i="9" s="1"/>
  <c r="K65" i="9" s="1"/>
  <c r="L65" i="9" s="1"/>
  <c r="S65" i="9"/>
  <c r="AQ61" i="12"/>
  <c r="P63" i="7"/>
  <c r="D26" i="14"/>
  <c r="AO63" i="9"/>
  <c r="Y62" i="7"/>
  <c r="AN63" i="9"/>
  <c r="J64" i="9"/>
  <c r="K64" i="9" s="1"/>
  <c r="L64" i="9" s="1"/>
  <c r="Z64" i="9"/>
  <c r="AL64" i="9" s="1"/>
  <c r="Z62" i="12"/>
  <c r="BO62" i="12" s="1"/>
  <c r="AT62" i="12"/>
  <c r="B63" i="12" s="1"/>
  <c r="S57" i="10"/>
  <c r="I57" i="10"/>
  <c r="H64" i="12"/>
  <c r="Y64" i="12" s="1"/>
  <c r="AZ64" i="12" s="1"/>
  <c r="H65" i="12" s="1"/>
  <c r="Y65" i="12" s="1"/>
  <c r="J63" i="7"/>
  <c r="K63" i="7" s="1"/>
  <c r="L63" i="7" s="1"/>
  <c r="U63" i="7"/>
  <c r="S63" i="7"/>
  <c r="V63" i="7"/>
  <c r="R63" i="7"/>
  <c r="BL56" i="10"/>
  <c r="BK56" i="10"/>
  <c r="AD56" i="10"/>
  <c r="AA56" i="10"/>
  <c r="AB56" i="10" s="1"/>
  <c r="AC56" i="10" s="1"/>
  <c r="BA56" i="10"/>
  <c r="AJ56" i="10"/>
  <c r="AK56" i="10"/>
  <c r="AN56" i="10"/>
  <c r="AV56" i="10"/>
  <c r="AW56" i="10"/>
  <c r="AZ56" i="10"/>
  <c r="AY56" i="10"/>
  <c r="D64" i="12"/>
  <c r="U64" i="12" s="1"/>
  <c r="AV64" i="12" s="1"/>
  <c r="D65" i="12" s="1"/>
  <c r="U65" i="12" s="1"/>
  <c r="B64" i="7"/>
  <c r="B65" i="7" s="1"/>
  <c r="AI63" i="7"/>
  <c r="AJ63" i="7" s="1"/>
  <c r="AY62" i="12"/>
  <c r="G63" i="12" s="1"/>
  <c r="AT56" i="10"/>
  <c r="BI57" i="10"/>
  <c r="G58" i="10" s="1"/>
  <c r="J62" i="12"/>
  <c r="K62" i="12" s="1"/>
  <c r="L62" i="12" s="1"/>
  <c r="AH56" i="10"/>
  <c r="E64" i="12"/>
  <c r="V64" i="12" s="1"/>
  <c r="AW64" i="12" s="1"/>
  <c r="E65" i="12" s="1"/>
  <c r="I55" i="22" l="1"/>
  <c r="J55" i="22" s="1"/>
  <c r="K55" i="22" s="1"/>
  <c r="L55" i="22" s="1"/>
  <c r="S55" i="22"/>
  <c r="Z55" i="22" s="1"/>
  <c r="AT55" i="22" s="1"/>
  <c r="AH55" i="22"/>
  <c r="BK55" i="22"/>
  <c r="X63" i="4"/>
  <c r="W63" i="4"/>
  <c r="AC64" i="4"/>
  <c r="AE64" i="4"/>
  <c r="I66" i="4"/>
  <c r="B7" i="8" s="1"/>
  <c r="H7" i="8" s="1"/>
  <c r="AH64" i="4"/>
  <c r="AI64" i="4"/>
  <c r="AF64" i="4"/>
  <c r="R64" i="4"/>
  <c r="V64" i="4"/>
  <c r="U64" i="4"/>
  <c r="P64" i="4"/>
  <c r="B27" i="14"/>
  <c r="AT64" i="4"/>
  <c r="AU64" i="4" s="1"/>
  <c r="J64" i="4"/>
  <c r="AJ64" i="4"/>
  <c r="I71" i="4"/>
  <c r="I73" i="4"/>
  <c r="B2" i="18"/>
  <c r="AH51" i="23"/>
  <c r="I75" i="29"/>
  <c r="AP51" i="26"/>
  <c r="AO51" i="26"/>
  <c r="BJ51" i="26"/>
  <c r="H52" i="26" s="1"/>
  <c r="Y52" i="26" s="1"/>
  <c r="BD51" i="26"/>
  <c r="BI51" i="26"/>
  <c r="G52" i="26" s="1"/>
  <c r="BG51" i="26"/>
  <c r="E52" i="26" s="1"/>
  <c r="BF51" i="26"/>
  <c r="D52" i="26" s="1"/>
  <c r="I67" i="25"/>
  <c r="I73" i="25"/>
  <c r="AA51" i="23"/>
  <c r="AB51" i="23" s="1"/>
  <c r="AC51" i="23" s="1"/>
  <c r="BK51" i="23"/>
  <c r="AD51" i="23"/>
  <c r="BA51" i="23"/>
  <c r="AM51" i="23"/>
  <c r="AZ51" i="23"/>
  <c r="AN51" i="23"/>
  <c r="AY51" i="23"/>
  <c r="AV51" i="23"/>
  <c r="AW51" i="23"/>
  <c r="AJ51" i="23"/>
  <c r="AK51" i="23"/>
  <c r="Z51" i="20"/>
  <c r="AH51" i="20" s="1"/>
  <c r="B66" i="9"/>
  <c r="Z65" i="9"/>
  <c r="V65" i="12"/>
  <c r="AV65" i="12"/>
  <c r="D66" i="12" s="1"/>
  <c r="U66" i="12" s="1"/>
  <c r="AZ65" i="12"/>
  <c r="H66" i="12" s="1"/>
  <c r="Y66" i="12" s="1"/>
  <c r="AP56" i="10"/>
  <c r="W63" i="7"/>
  <c r="AP63" i="9"/>
  <c r="AM62" i="12"/>
  <c r="AO56" i="10"/>
  <c r="X63" i="7"/>
  <c r="BT62" i="12"/>
  <c r="AA64" i="9"/>
  <c r="AB64" i="9" s="1"/>
  <c r="AC64" i="9" s="1"/>
  <c r="AJ64" i="9"/>
  <c r="AM64" i="9"/>
  <c r="AD64" i="9"/>
  <c r="AI64" i="9"/>
  <c r="AG64" i="9"/>
  <c r="X63" i="12"/>
  <c r="AY63" i="12" s="1"/>
  <c r="AH62" i="12"/>
  <c r="J57" i="10"/>
  <c r="K57" i="10" s="1"/>
  <c r="L57" i="10" s="1"/>
  <c r="X58" i="10"/>
  <c r="AB64" i="7"/>
  <c r="I64" i="7"/>
  <c r="BD57" i="10"/>
  <c r="B58" i="10" s="1"/>
  <c r="Z57" i="10"/>
  <c r="AM57" i="10" s="1"/>
  <c r="S63" i="12"/>
  <c r="AT63" i="12" s="1"/>
  <c r="I63" i="12"/>
  <c r="AA62" i="12"/>
  <c r="AB62" i="12" s="1"/>
  <c r="AC62" i="12" s="1"/>
  <c r="AD62" i="12"/>
  <c r="BV62" i="12"/>
  <c r="BB62" i="12"/>
  <c r="BA62" i="12"/>
  <c r="AN62" i="12"/>
  <c r="BQ62" i="12"/>
  <c r="BR62" i="12"/>
  <c r="BU62" i="12"/>
  <c r="AJ62" i="12"/>
  <c r="AK62" i="12"/>
  <c r="AW55" i="22" l="1"/>
  <c r="AD55" i="22"/>
  <c r="AV55" i="22"/>
  <c r="AJ55" i="22"/>
  <c r="BA55" i="22"/>
  <c r="AA55" i="22"/>
  <c r="AB55" i="22" s="1"/>
  <c r="AC55" i="22" s="1"/>
  <c r="AZ55" i="22"/>
  <c r="AM55" i="22"/>
  <c r="AN55" i="22"/>
  <c r="AK55" i="22"/>
  <c r="AY55" i="22"/>
  <c r="I68" i="4"/>
  <c r="B9" i="8" s="1"/>
  <c r="H9" i="8" s="1"/>
  <c r="BI55" i="22"/>
  <c r="G56" i="22" s="1"/>
  <c r="X56" i="22" s="1"/>
  <c r="BI56" i="22" s="1"/>
  <c r="BG55" i="22"/>
  <c r="E56" i="22" s="1"/>
  <c r="V56" i="22" s="1"/>
  <c r="BG56" i="22" s="1"/>
  <c r="BD55" i="22"/>
  <c r="BJ55" i="22"/>
  <c r="H56" i="22" s="1"/>
  <c r="Y56" i="22" s="1"/>
  <c r="BJ56" i="22" s="1"/>
  <c r="BF55" i="22"/>
  <c r="D56" i="22" s="1"/>
  <c r="U56" i="22" s="1"/>
  <c r="BF56" i="22" s="1"/>
  <c r="Y63" i="4"/>
  <c r="BG51" i="23"/>
  <c r="E52" i="23" s="1"/>
  <c r="V52" i="23" s="1"/>
  <c r="BF51" i="23"/>
  <c r="D52" i="23" s="1"/>
  <c r="U52" i="23" s="1"/>
  <c r="W64" i="4"/>
  <c r="X64" i="4"/>
  <c r="K64" i="4"/>
  <c r="L64" i="4" s="1"/>
  <c r="I67" i="4" s="1"/>
  <c r="B8" i="8" s="1"/>
  <c r="I72" i="4"/>
  <c r="I65" i="25"/>
  <c r="I71" i="25" s="1"/>
  <c r="AM65" i="25"/>
  <c r="AS65" i="25"/>
  <c r="AQ51" i="26"/>
  <c r="I65" i="29"/>
  <c r="Z65" i="29"/>
  <c r="I66" i="29" s="1"/>
  <c r="I68" i="29" s="1"/>
  <c r="I67" i="29"/>
  <c r="B52" i="26"/>
  <c r="S52" i="26" s="1"/>
  <c r="BL51" i="26"/>
  <c r="AO51" i="23"/>
  <c r="AP51" i="23"/>
  <c r="BI51" i="23"/>
  <c r="G52" i="23" s="1"/>
  <c r="X52" i="23" s="1"/>
  <c r="BD51" i="23"/>
  <c r="BJ51" i="23"/>
  <c r="H52" i="23" s="1"/>
  <c r="Y52" i="23" s="1"/>
  <c r="AT51" i="20"/>
  <c r="AD51" i="20"/>
  <c r="BA51" i="20"/>
  <c r="BK51" i="20"/>
  <c r="AA51" i="20"/>
  <c r="AB51" i="20" s="1"/>
  <c r="AC51" i="20" s="1"/>
  <c r="AZ51" i="20"/>
  <c r="AM51" i="20"/>
  <c r="AY51" i="20"/>
  <c r="AN51" i="20"/>
  <c r="AK51" i="20"/>
  <c r="AW51" i="20"/>
  <c r="AV51" i="20"/>
  <c r="AJ51" i="20"/>
  <c r="AO64" i="9"/>
  <c r="Y63" i="7"/>
  <c r="AQ56" i="10"/>
  <c r="AD65" i="9"/>
  <c r="AA65" i="9"/>
  <c r="AB65" i="9" s="1"/>
  <c r="AC65" i="9" s="1"/>
  <c r="AJ65" i="9"/>
  <c r="AM65" i="9"/>
  <c r="AI65" i="9"/>
  <c r="AL65" i="9"/>
  <c r="S66" i="9"/>
  <c r="B67" i="9" s="1"/>
  <c r="I66" i="9"/>
  <c r="J66" i="9" s="1"/>
  <c r="K66" i="9" s="1"/>
  <c r="L66" i="9" s="1"/>
  <c r="AG65" i="9"/>
  <c r="AV66" i="12"/>
  <c r="D67" i="12" s="1"/>
  <c r="U67" i="12" s="1"/>
  <c r="AZ66" i="12"/>
  <c r="H67" i="12" s="1"/>
  <c r="Y67" i="12" s="1"/>
  <c r="AW65" i="12"/>
  <c r="E66" i="12" s="1"/>
  <c r="V66" i="12" s="1"/>
  <c r="P64" i="7"/>
  <c r="D27" i="14"/>
  <c r="AP62" i="12"/>
  <c r="AO62" i="12"/>
  <c r="AN64" i="9"/>
  <c r="BA57" i="10"/>
  <c r="AD57" i="10"/>
  <c r="BK57" i="10"/>
  <c r="AA57" i="10"/>
  <c r="AB57" i="10" s="1"/>
  <c r="AC57" i="10" s="1"/>
  <c r="BL57" i="10"/>
  <c r="AZ57" i="10"/>
  <c r="AK57" i="10"/>
  <c r="AV57" i="10"/>
  <c r="AN57" i="10"/>
  <c r="AJ57" i="10"/>
  <c r="AW57" i="10"/>
  <c r="AY57" i="10"/>
  <c r="G64" i="12"/>
  <c r="J63" i="12"/>
  <c r="K63" i="12" s="1"/>
  <c r="L63" i="12" s="1"/>
  <c r="S58" i="10"/>
  <c r="I58" i="10"/>
  <c r="AI64" i="7"/>
  <c r="AJ64" i="7" s="1"/>
  <c r="B64" i="12"/>
  <c r="Z63" i="12"/>
  <c r="AH57" i="10"/>
  <c r="J64" i="7"/>
  <c r="K64" i="7" s="1"/>
  <c r="L64" i="7" s="1"/>
  <c r="S64" i="7"/>
  <c r="R64" i="7"/>
  <c r="U64" i="7"/>
  <c r="V64" i="7"/>
  <c r="AT57" i="10"/>
  <c r="AO55" i="22" l="1"/>
  <c r="AP55" i="22"/>
  <c r="AQ55" i="22"/>
  <c r="O9" i="8"/>
  <c r="BL55" i="22"/>
  <c r="B56" i="22"/>
  <c r="Y64" i="4"/>
  <c r="O8" i="8"/>
  <c r="H8" i="8"/>
  <c r="I73" i="29"/>
  <c r="I72" i="29"/>
  <c r="I52" i="26"/>
  <c r="J52" i="26" s="1"/>
  <c r="K52" i="26" s="1"/>
  <c r="L52" i="26" s="1"/>
  <c r="I72" i="25"/>
  <c r="I66" i="25"/>
  <c r="I68" i="25" s="1"/>
  <c r="AQ51" i="23"/>
  <c r="I75" i="21"/>
  <c r="B52" i="23"/>
  <c r="BL51" i="23"/>
  <c r="AO51" i="20"/>
  <c r="BD51" i="20"/>
  <c r="BJ51" i="20"/>
  <c r="H52" i="20" s="1"/>
  <c r="Y52" i="20" s="1"/>
  <c r="BI51" i="20"/>
  <c r="G52" i="20" s="1"/>
  <c r="X52" i="20" s="1"/>
  <c r="BG51" i="20"/>
  <c r="E52" i="20" s="1"/>
  <c r="V52" i="20" s="1"/>
  <c r="BF51" i="20"/>
  <c r="D52" i="20" s="1"/>
  <c r="U52" i="20" s="1"/>
  <c r="AZ67" i="12"/>
  <c r="AV67" i="12"/>
  <c r="AP51" i="20"/>
  <c r="S67" i="9"/>
  <c r="B68" i="9" s="1"/>
  <c r="I67" i="9"/>
  <c r="J67" i="9" s="1"/>
  <c r="K67" i="9" s="1"/>
  <c r="L67" i="9" s="1"/>
  <c r="AP64" i="9"/>
  <c r="AO65" i="9"/>
  <c r="D28" i="14"/>
  <c r="BO63" i="12"/>
  <c r="BA63" i="12"/>
  <c r="BB63" i="12"/>
  <c r="Z66" i="9"/>
  <c r="AG66" i="9" s="1"/>
  <c r="AN65" i="9"/>
  <c r="AW66" i="12"/>
  <c r="E67" i="12" s="1"/>
  <c r="AP57" i="10"/>
  <c r="AQ62" i="12"/>
  <c r="X64" i="7"/>
  <c r="AO57" i="10"/>
  <c r="AM63" i="12"/>
  <c r="W64" i="7"/>
  <c r="AH63" i="12"/>
  <c r="AA63" i="12"/>
  <c r="AB63" i="12" s="1"/>
  <c r="AC63" i="12" s="1"/>
  <c r="AD63" i="12"/>
  <c r="BV63" i="12"/>
  <c r="AN63" i="12"/>
  <c r="BU63" i="12"/>
  <c r="AJ63" i="12"/>
  <c r="BQ63" i="12"/>
  <c r="BR63" i="12"/>
  <c r="AK63" i="12"/>
  <c r="J58" i="10"/>
  <c r="K58" i="10" s="1"/>
  <c r="L58" i="10" s="1"/>
  <c r="BT63" i="12"/>
  <c r="S64" i="12"/>
  <c r="AT64" i="12" s="1"/>
  <c r="B65" i="12" s="1"/>
  <c r="I64" i="12"/>
  <c r="Z58" i="10"/>
  <c r="X64" i="12"/>
  <c r="AY64" i="12" s="1"/>
  <c r="G65" i="12" s="1"/>
  <c r="X65" i="12" s="1"/>
  <c r="S56" i="22" l="1"/>
  <c r="BD56" i="22" s="1"/>
  <c r="I56" i="22"/>
  <c r="J56" i="22" s="1"/>
  <c r="K56" i="22" s="1"/>
  <c r="L56" i="22" s="1"/>
  <c r="D68" i="12"/>
  <c r="U68" i="12" s="1"/>
  <c r="I68" i="9"/>
  <c r="J68" i="9" s="1"/>
  <c r="K68" i="9" s="1"/>
  <c r="L68" i="9" s="1"/>
  <c r="S68" i="9"/>
  <c r="H68" i="12"/>
  <c r="Y68" i="12" s="1"/>
  <c r="Z52" i="26"/>
  <c r="I65" i="21"/>
  <c r="I72" i="21" s="1"/>
  <c r="Z65" i="21"/>
  <c r="I66" i="21" s="1"/>
  <c r="I68" i="21" s="1"/>
  <c r="I67" i="21"/>
  <c r="I52" i="23"/>
  <c r="J52" i="23" s="1"/>
  <c r="K52" i="23" s="1"/>
  <c r="L52" i="23" s="1"/>
  <c r="S52" i="23"/>
  <c r="AQ51" i="20"/>
  <c r="V67" i="12"/>
  <c r="B52" i="20"/>
  <c r="BL51" i="20"/>
  <c r="Z67" i="9"/>
  <c r="AP65" i="9"/>
  <c r="AL66" i="9"/>
  <c r="AD66" i="9"/>
  <c r="AA66" i="9"/>
  <c r="AB66" i="9" s="1"/>
  <c r="AC66" i="9" s="1"/>
  <c r="AI66" i="9"/>
  <c r="AM66" i="9"/>
  <c r="AJ66" i="9"/>
  <c r="AY65" i="12"/>
  <c r="G66" i="12" s="1"/>
  <c r="X66" i="12" s="1"/>
  <c r="S65" i="12"/>
  <c r="I65" i="12"/>
  <c r="J65" i="12" s="1"/>
  <c r="K65" i="12" s="1"/>
  <c r="L65" i="12" s="1"/>
  <c r="Y64" i="7"/>
  <c r="AQ57" i="10"/>
  <c r="AP63" i="12"/>
  <c r="AH58" i="10"/>
  <c r="AM58" i="10"/>
  <c r="AO63" i="12"/>
  <c r="AT58" i="10"/>
  <c r="Z64" i="12"/>
  <c r="J64" i="12"/>
  <c r="K64" i="12" s="1"/>
  <c r="L64" i="12" s="1"/>
  <c r="BK58" i="10"/>
  <c r="AA58" i="10"/>
  <c r="AB58" i="10" s="1"/>
  <c r="AC58" i="10" s="1"/>
  <c r="BA58" i="10"/>
  <c r="AD58" i="10"/>
  <c r="AW58" i="10"/>
  <c r="AJ58" i="10"/>
  <c r="AK58" i="10"/>
  <c r="AV58" i="10"/>
  <c r="AZ58" i="10"/>
  <c r="AN58" i="10"/>
  <c r="AY58" i="10"/>
  <c r="Z56" i="22" l="1"/>
  <c r="AH56" i="22" s="1"/>
  <c r="B69" i="9"/>
  <c r="Z68" i="9"/>
  <c r="AG68" i="9" s="1"/>
  <c r="AZ68" i="12"/>
  <c r="H69" i="12" s="1"/>
  <c r="Y69" i="12" s="1"/>
  <c r="AV68" i="12"/>
  <c r="D69" i="12" s="1"/>
  <c r="U69" i="12" s="1"/>
  <c r="BK52" i="26"/>
  <c r="AA52" i="26"/>
  <c r="AB52" i="26" s="1"/>
  <c r="AC52" i="26" s="1"/>
  <c r="BA52" i="26"/>
  <c r="AD52" i="26"/>
  <c r="AZ52" i="26"/>
  <c r="AY52" i="26"/>
  <c r="AN52" i="26"/>
  <c r="AM52" i="26"/>
  <c r="AJ52" i="26"/>
  <c r="AW52" i="26"/>
  <c r="AV52" i="26"/>
  <c r="AK52" i="26"/>
  <c r="AH52" i="26"/>
  <c r="AT52" i="26"/>
  <c r="Z52" i="23"/>
  <c r="AT52" i="23" s="1"/>
  <c r="I73" i="21"/>
  <c r="S52" i="20"/>
  <c r="I52" i="20"/>
  <c r="J52" i="20" s="1"/>
  <c r="K52" i="20" s="1"/>
  <c r="L52" i="20" s="1"/>
  <c r="AW67" i="12"/>
  <c r="E68" i="12" s="1"/>
  <c r="V68" i="12" s="1"/>
  <c r="D30" i="14"/>
  <c r="AG67" i="9"/>
  <c r="AA67" i="9"/>
  <c r="AB67" i="9" s="1"/>
  <c r="AC67" i="9" s="1"/>
  <c r="AD67" i="9"/>
  <c r="AM67" i="9"/>
  <c r="AJ67" i="9"/>
  <c r="AI67" i="9"/>
  <c r="AL67" i="9"/>
  <c r="D29" i="14"/>
  <c r="AN66" i="9"/>
  <c r="AO66" i="9"/>
  <c r="AT65" i="12"/>
  <c r="B66" i="12" s="1"/>
  <c r="Z65" i="12"/>
  <c r="AH64" i="12"/>
  <c r="BA64" i="12"/>
  <c r="BB64" i="12"/>
  <c r="AY66" i="12"/>
  <c r="G67" i="12" s="1"/>
  <c r="X67" i="12" s="1"/>
  <c r="AP58" i="10"/>
  <c r="AQ63" i="12"/>
  <c r="AO58" i="10"/>
  <c r="AM64" i="12"/>
  <c r="BT64" i="12"/>
  <c r="BO64" i="12"/>
  <c r="BD58" i="10"/>
  <c r="BF58" i="10"/>
  <c r="D59" i="10" s="1"/>
  <c r="U59" i="10" s="1"/>
  <c r="BG58" i="10"/>
  <c r="E59" i="10" s="1"/>
  <c r="V59" i="10" s="1"/>
  <c r="BI58" i="10"/>
  <c r="G59" i="10" s="1"/>
  <c r="BJ58" i="10"/>
  <c r="H59" i="10" s="1"/>
  <c r="Y59" i="10" s="1"/>
  <c r="AA64" i="12"/>
  <c r="AB64" i="12" s="1"/>
  <c r="AC64" i="12" s="1"/>
  <c r="AD64" i="12"/>
  <c r="BV64" i="12"/>
  <c r="BU64" i="12"/>
  <c r="AK64" i="12"/>
  <c r="AJ64" i="12"/>
  <c r="AN64" i="12"/>
  <c r="BQ64" i="12"/>
  <c r="BR64" i="12"/>
  <c r="AT56" i="22" l="1"/>
  <c r="AM56" i="22"/>
  <c r="AJ56" i="22"/>
  <c r="AK56" i="22"/>
  <c r="AV56" i="22"/>
  <c r="AA56" i="22"/>
  <c r="AB56" i="22" s="1"/>
  <c r="AC56" i="22" s="1"/>
  <c r="AY56" i="22"/>
  <c r="BK56" i="22"/>
  <c r="BA56" i="22"/>
  <c r="AW56" i="22"/>
  <c r="AD56" i="22"/>
  <c r="AZ56" i="22"/>
  <c r="AN56" i="22"/>
  <c r="AZ69" i="12"/>
  <c r="H70" i="12" s="1"/>
  <c r="Y70" i="12"/>
  <c r="AW68" i="12"/>
  <c r="E69" i="12" s="1"/>
  <c r="V69" i="12" s="1"/>
  <c r="V70" i="12" s="1"/>
  <c r="AV69" i="12"/>
  <c r="D70" i="12" s="1"/>
  <c r="U70" i="12"/>
  <c r="AD68" i="9"/>
  <c r="AA68" i="9"/>
  <c r="AB68" i="9" s="1"/>
  <c r="AC68" i="9" s="1"/>
  <c r="AM68" i="9"/>
  <c r="AJ68" i="9"/>
  <c r="AI68" i="9"/>
  <c r="AL68" i="9"/>
  <c r="I69" i="9"/>
  <c r="J69" i="9" s="1"/>
  <c r="K69" i="9" s="1"/>
  <c r="L69" i="9" s="1"/>
  <c r="S69" i="9"/>
  <c r="Z69" i="9" s="1"/>
  <c r="AO52" i="26"/>
  <c r="AP52" i="26"/>
  <c r="BF52" i="26"/>
  <c r="D53" i="26" s="1"/>
  <c r="BJ52" i="26"/>
  <c r="H53" i="26" s="1"/>
  <c r="Y53" i="26" s="1"/>
  <c r="BD52" i="26"/>
  <c r="BI52" i="26"/>
  <c r="G53" i="26" s="1"/>
  <c r="BG52" i="26"/>
  <c r="E53" i="26" s="1"/>
  <c r="BK52" i="23"/>
  <c r="AD52" i="23"/>
  <c r="AA52" i="23"/>
  <c r="AB52" i="23" s="1"/>
  <c r="AC52" i="23" s="1"/>
  <c r="BA52" i="23"/>
  <c r="AY52" i="23"/>
  <c r="AW52" i="23"/>
  <c r="AM52" i="23"/>
  <c r="AK52" i="23"/>
  <c r="AZ52" i="23"/>
  <c r="AN52" i="23"/>
  <c r="AJ52" i="23"/>
  <c r="AV52" i="23"/>
  <c r="AH52" i="23"/>
  <c r="AY67" i="12"/>
  <c r="G68" i="12" s="1"/>
  <c r="X68" i="12" s="1"/>
  <c r="Z52" i="20"/>
  <c r="AO67" i="9"/>
  <c r="S70" i="9"/>
  <c r="AN67" i="9"/>
  <c r="AP66" i="9"/>
  <c r="BA65" i="12"/>
  <c r="BB65" i="12"/>
  <c r="AA65" i="12"/>
  <c r="AB65" i="12" s="1"/>
  <c r="AC65" i="12" s="1"/>
  <c r="AD65" i="12"/>
  <c r="AN65" i="12"/>
  <c r="AJ65" i="12"/>
  <c r="AK65" i="12"/>
  <c r="AM65" i="12"/>
  <c r="AH65" i="12"/>
  <c r="S66" i="12"/>
  <c r="I66" i="12"/>
  <c r="J66" i="12" s="1"/>
  <c r="K66" i="12" s="1"/>
  <c r="L66" i="12" s="1"/>
  <c r="AP64" i="12"/>
  <c r="AQ58" i="10"/>
  <c r="AO64" i="12"/>
  <c r="BF59" i="10"/>
  <c r="D60" i="10" s="1"/>
  <c r="U60" i="10" s="1"/>
  <c r="BJ59" i="10"/>
  <c r="H60" i="10" s="1"/>
  <c r="Y60" i="10" s="1"/>
  <c r="B59" i="10"/>
  <c r="BL58" i="10"/>
  <c r="X59" i="10"/>
  <c r="BG59" i="10"/>
  <c r="E60" i="10" s="1"/>
  <c r="V60" i="10" s="1"/>
  <c r="AO56" i="22" l="1"/>
  <c r="AP56" i="22"/>
  <c r="H57" i="22"/>
  <c r="Y57" i="22" s="1"/>
  <c r="G57" i="22"/>
  <c r="X57" i="22" s="1"/>
  <c r="E57" i="22"/>
  <c r="V57" i="22" s="1"/>
  <c r="D57" i="22"/>
  <c r="U57" i="22" s="1"/>
  <c r="I80" i="9"/>
  <c r="AN68" i="9"/>
  <c r="AY68" i="12"/>
  <c r="G69" i="12" s="1"/>
  <c r="X69" i="12" s="1"/>
  <c r="X70" i="12" s="1"/>
  <c r="AG69" i="9"/>
  <c r="AA69" i="9"/>
  <c r="AB69" i="9" s="1"/>
  <c r="AC69" i="9" s="1"/>
  <c r="AD69" i="9"/>
  <c r="AI69" i="9"/>
  <c r="AM69" i="9"/>
  <c r="AJ69" i="9"/>
  <c r="AL69" i="9"/>
  <c r="AW69" i="12"/>
  <c r="E70" i="12" s="1"/>
  <c r="AO68" i="9"/>
  <c r="AQ52" i="26"/>
  <c r="B53" i="26"/>
  <c r="S53" i="26" s="1"/>
  <c r="BL52" i="26"/>
  <c r="AP52" i="23"/>
  <c r="AO52" i="23"/>
  <c r="BD52" i="23"/>
  <c r="BJ52" i="23"/>
  <c r="H53" i="23" s="1"/>
  <c r="Y53" i="23" s="1"/>
  <c r="BG52" i="23"/>
  <c r="E53" i="23" s="1"/>
  <c r="V53" i="23" s="1"/>
  <c r="BF52" i="23"/>
  <c r="D53" i="23" s="1"/>
  <c r="U53" i="23" s="1"/>
  <c r="BI52" i="23"/>
  <c r="G53" i="23" s="1"/>
  <c r="X53" i="23" s="1"/>
  <c r="Z65" i="24"/>
  <c r="I66" i="24" s="1"/>
  <c r="I65" i="24"/>
  <c r="I75" i="24"/>
  <c r="AH52" i="20"/>
  <c r="BK52" i="20"/>
  <c r="AA52" i="20"/>
  <c r="AB52" i="20" s="1"/>
  <c r="AC52" i="20" s="1"/>
  <c r="AD52" i="20"/>
  <c r="BA52" i="20"/>
  <c r="AW52" i="20"/>
  <c r="AK52" i="20"/>
  <c r="AJ52" i="20"/>
  <c r="AZ52" i="20"/>
  <c r="AY52" i="20"/>
  <c r="AV52" i="20"/>
  <c r="AN52" i="20"/>
  <c r="AM52" i="20"/>
  <c r="AT52" i="20"/>
  <c r="B70" i="9"/>
  <c r="I70" i="9" s="1"/>
  <c r="Z70" i="9"/>
  <c r="I71" i="9" s="1"/>
  <c r="I73" i="9" s="1"/>
  <c r="AP67" i="9"/>
  <c r="AT66" i="12"/>
  <c r="B67" i="12" s="1"/>
  <c r="Z66" i="12"/>
  <c r="BV66" i="12" s="1"/>
  <c r="AO65" i="12"/>
  <c r="AP65" i="12"/>
  <c r="AQ64" i="12"/>
  <c r="BI59" i="10"/>
  <c r="G60" i="10" s="1"/>
  <c r="S59" i="10"/>
  <c r="I59" i="10"/>
  <c r="AQ56" i="22" l="1"/>
  <c r="B57" i="22"/>
  <c r="BL56" i="22"/>
  <c r="AP68" i="9"/>
  <c r="AN69" i="9"/>
  <c r="AO69" i="9"/>
  <c r="AY69" i="12"/>
  <c r="G70" i="12" s="1"/>
  <c r="I53" i="26"/>
  <c r="J53" i="26" s="1"/>
  <c r="K53" i="26" s="1"/>
  <c r="L53" i="26" s="1"/>
  <c r="I68" i="24"/>
  <c r="I67" i="24"/>
  <c r="B53" i="23"/>
  <c r="BL52" i="23"/>
  <c r="I72" i="24"/>
  <c r="AQ52" i="23"/>
  <c r="BI52" i="20"/>
  <c r="G53" i="20" s="1"/>
  <c r="X53" i="20" s="1"/>
  <c r="BG52" i="20"/>
  <c r="E53" i="20" s="1"/>
  <c r="V53" i="20" s="1"/>
  <c r="BF52" i="20"/>
  <c r="D53" i="20" s="1"/>
  <c r="U53" i="20" s="1"/>
  <c r="BD52" i="20"/>
  <c r="BJ52" i="20"/>
  <c r="H53" i="20" s="1"/>
  <c r="Y53" i="20" s="1"/>
  <c r="I73" i="7"/>
  <c r="S67" i="12"/>
  <c r="I67" i="12"/>
  <c r="J67" i="12" s="1"/>
  <c r="K67" i="12" s="1"/>
  <c r="L67" i="12" s="1"/>
  <c r="AP52" i="20"/>
  <c r="AO52" i="20"/>
  <c r="I77" i="9"/>
  <c r="C30" i="8"/>
  <c r="I72" i="9"/>
  <c r="I78" i="9"/>
  <c r="BQ66" i="12"/>
  <c r="BO66" i="12"/>
  <c r="AQ65" i="12"/>
  <c r="BR66" i="12"/>
  <c r="AH66" i="12"/>
  <c r="BU66" i="12"/>
  <c r="BA66" i="12"/>
  <c r="BB66" i="12"/>
  <c r="AA66" i="12"/>
  <c r="AB66" i="12" s="1"/>
  <c r="AC66" i="12" s="1"/>
  <c r="AD66" i="12"/>
  <c r="AJ66" i="12"/>
  <c r="AN66" i="12"/>
  <c r="AK66" i="12"/>
  <c r="AM66" i="12"/>
  <c r="BT66" i="12"/>
  <c r="X60" i="10"/>
  <c r="J59" i="10"/>
  <c r="K59" i="10" s="1"/>
  <c r="L59" i="10" s="1"/>
  <c r="BD59" i="10"/>
  <c r="B60" i="10" s="1"/>
  <c r="Z59" i="10"/>
  <c r="I57" i="22" l="1"/>
  <c r="J57" i="22" s="1"/>
  <c r="K57" i="22" s="1"/>
  <c r="L57" i="22" s="1"/>
  <c r="S57" i="22"/>
  <c r="D31" i="14"/>
  <c r="AP69" i="9"/>
  <c r="I65" i="7"/>
  <c r="Z53" i="26"/>
  <c r="AT53" i="26" s="1"/>
  <c r="I73" i="24"/>
  <c r="I53" i="23"/>
  <c r="J53" i="23" s="1"/>
  <c r="K53" i="23" s="1"/>
  <c r="L53" i="23" s="1"/>
  <c r="S53" i="23"/>
  <c r="AQ52" i="20"/>
  <c r="I67" i="7"/>
  <c r="D8" i="8" s="1"/>
  <c r="G8" i="8" s="1"/>
  <c r="B53" i="20"/>
  <c r="BL52" i="20"/>
  <c r="AT67" i="12"/>
  <c r="B68" i="12" s="1"/>
  <c r="Z67" i="12"/>
  <c r="AO66" i="12"/>
  <c r="AP66" i="12"/>
  <c r="AT59" i="10"/>
  <c r="AM59" i="10"/>
  <c r="AH59" i="10"/>
  <c r="BL59" i="10"/>
  <c r="AA59" i="10"/>
  <c r="AB59" i="10" s="1"/>
  <c r="AC59" i="10" s="1"/>
  <c r="AD59" i="10"/>
  <c r="BA59" i="10"/>
  <c r="BK59" i="10"/>
  <c r="AZ59" i="10"/>
  <c r="AK59" i="10"/>
  <c r="AV59" i="10"/>
  <c r="AN59" i="10"/>
  <c r="AJ59" i="10"/>
  <c r="AW59" i="10"/>
  <c r="AY59" i="10"/>
  <c r="S60" i="10"/>
  <c r="I60" i="10"/>
  <c r="Z57" i="22" l="1"/>
  <c r="AH57" i="22" s="1"/>
  <c r="I66" i="7"/>
  <c r="D7" i="8" s="1"/>
  <c r="G7" i="8" s="1"/>
  <c r="I71" i="7"/>
  <c r="D6" i="8"/>
  <c r="B3" i="18" s="1"/>
  <c r="D14" i="8"/>
  <c r="I68" i="12"/>
  <c r="J68" i="12" s="1"/>
  <c r="K68" i="12" s="1"/>
  <c r="L68" i="12" s="1"/>
  <c r="S68" i="12"/>
  <c r="AH53" i="26"/>
  <c r="BA53" i="26"/>
  <c r="AD53" i="26"/>
  <c r="BK53" i="26"/>
  <c r="AA53" i="26"/>
  <c r="AB53" i="26" s="1"/>
  <c r="AC53" i="26" s="1"/>
  <c r="AZ53" i="26"/>
  <c r="AV53" i="26"/>
  <c r="AN53" i="26"/>
  <c r="AJ53" i="26"/>
  <c r="AK53" i="26"/>
  <c r="AY53" i="26"/>
  <c r="AW53" i="26"/>
  <c r="AM53" i="26"/>
  <c r="Z53" i="23"/>
  <c r="F8" i="8"/>
  <c r="I72" i="7"/>
  <c r="I53" i="20"/>
  <c r="J53" i="20" s="1"/>
  <c r="K53" i="20" s="1"/>
  <c r="L53" i="20" s="1"/>
  <c r="S53" i="20"/>
  <c r="BA67" i="12"/>
  <c r="BB67" i="12"/>
  <c r="AD67" i="12"/>
  <c r="AA67" i="12"/>
  <c r="AB67" i="12" s="1"/>
  <c r="AC67" i="12" s="1"/>
  <c r="AJ67" i="12"/>
  <c r="AN67" i="12"/>
  <c r="AK67" i="12"/>
  <c r="AM67" i="12"/>
  <c r="AH67" i="12"/>
  <c r="AQ66" i="12"/>
  <c r="AP59" i="10"/>
  <c r="AO59" i="10"/>
  <c r="J60" i="10"/>
  <c r="Z60" i="10"/>
  <c r="AM60" i="10" s="1"/>
  <c r="AT57" i="22" l="1"/>
  <c r="AA57" i="22"/>
  <c r="AB57" i="22" s="1"/>
  <c r="AC57" i="22" s="1"/>
  <c r="BA57" i="22"/>
  <c r="AD57" i="22"/>
  <c r="BK57" i="22"/>
  <c r="AM57" i="22"/>
  <c r="AN57" i="22"/>
  <c r="AK57" i="22"/>
  <c r="AY57" i="22"/>
  <c r="AJ57" i="22"/>
  <c r="AZ57" i="22"/>
  <c r="AW57" i="22"/>
  <c r="AV57" i="22"/>
  <c r="F7" i="8"/>
  <c r="I68" i="7"/>
  <c r="D9" i="8" s="1"/>
  <c r="G6" i="8"/>
  <c r="F6" i="8"/>
  <c r="J6" i="8"/>
  <c r="K6" i="8"/>
  <c r="Z68" i="12"/>
  <c r="AT68" i="12"/>
  <c r="B69" i="12" s="1"/>
  <c r="BG53" i="26"/>
  <c r="E54" i="26" s="1"/>
  <c r="BF53" i="26"/>
  <c r="D54" i="26" s="1"/>
  <c r="BJ53" i="26"/>
  <c r="H54" i="26" s="1"/>
  <c r="Y54" i="26" s="1"/>
  <c r="BD53" i="26"/>
  <c r="BI53" i="26"/>
  <c r="G54" i="26" s="1"/>
  <c r="AP53" i="26"/>
  <c r="AO53" i="26"/>
  <c r="AD53" i="23"/>
  <c r="BK53" i="23"/>
  <c r="BA53" i="23"/>
  <c r="AA53" i="23"/>
  <c r="AB53" i="23" s="1"/>
  <c r="AC53" i="23" s="1"/>
  <c r="AN53" i="23"/>
  <c r="AJ53" i="23"/>
  <c r="AZ53" i="23"/>
  <c r="AV53" i="23"/>
  <c r="AK53" i="23"/>
  <c r="AW53" i="23"/>
  <c r="AM53" i="23"/>
  <c r="AY53" i="23"/>
  <c r="AT53" i="23"/>
  <c r="AH53" i="23"/>
  <c r="Z53" i="20"/>
  <c r="AT53" i="20" s="1"/>
  <c r="AO67" i="12"/>
  <c r="AP67" i="12"/>
  <c r="AQ59" i="10"/>
  <c r="BK60" i="10"/>
  <c r="AA60" i="10"/>
  <c r="AB60" i="10" s="1"/>
  <c r="AC60" i="10" s="1"/>
  <c r="AD60" i="10"/>
  <c r="BA60" i="10"/>
  <c r="AN60" i="10"/>
  <c r="AK60" i="10"/>
  <c r="AZ60" i="10"/>
  <c r="AJ60" i="10"/>
  <c r="AW60" i="10"/>
  <c r="AV60" i="10"/>
  <c r="AY60" i="10"/>
  <c r="AH60" i="10"/>
  <c r="AT60" i="10"/>
  <c r="I74" i="10"/>
  <c r="K60" i="10"/>
  <c r="BJ57" i="22" l="1"/>
  <c r="H58" i="22" s="1"/>
  <c r="Y58" i="22" s="1"/>
  <c r="BJ58" i="22" s="1"/>
  <c r="BD57" i="22"/>
  <c r="BI57" i="22"/>
  <c r="G58" i="22" s="1"/>
  <c r="X58" i="22" s="1"/>
  <c r="BI58" i="22" s="1"/>
  <c r="BG57" i="22"/>
  <c r="E58" i="22" s="1"/>
  <c r="V58" i="22" s="1"/>
  <c r="BG58" i="22" s="1"/>
  <c r="BF57" i="22"/>
  <c r="D58" i="22" s="1"/>
  <c r="U58" i="22" s="1"/>
  <c r="BF58" i="22" s="1"/>
  <c r="AO57" i="22"/>
  <c r="AP57" i="22"/>
  <c r="F9" i="8"/>
  <c r="G9" i="8"/>
  <c r="I69" i="12"/>
  <c r="S69" i="12"/>
  <c r="AH68" i="12"/>
  <c r="BB68" i="12"/>
  <c r="BA68" i="12"/>
  <c r="AD68" i="12"/>
  <c r="AA68" i="12"/>
  <c r="AB68" i="12" s="1"/>
  <c r="AC68" i="12" s="1"/>
  <c r="AN68" i="12"/>
  <c r="AJ68" i="12"/>
  <c r="AK68" i="12"/>
  <c r="AM68" i="12"/>
  <c r="B54" i="26"/>
  <c r="S54" i="26" s="1"/>
  <c r="BL53" i="26"/>
  <c r="AQ53" i="26"/>
  <c r="BF53" i="23"/>
  <c r="D54" i="23" s="1"/>
  <c r="U54" i="23" s="1"/>
  <c r="BJ53" i="23"/>
  <c r="H54" i="23" s="1"/>
  <c r="Y54" i="23" s="1"/>
  <c r="BI53" i="23"/>
  <c r="G54" i="23" s="1"/>
  <c r="X54" i="23" s="1"/>
  <c r="BD53" i="23"/>
  <c r="BG53" i="23"/>
  <c r="E54" i="23" s="1"/>
  <c r="V54" i="23" s="1"/>
  <c r="AO53" i="23"/>
  <c r="AP53" i="23"/>
  <c r="AQ67" i="12"/>
  <c r="AH53" i="20"/>
  <c r="AA53" i="20"/>
  <c r="AB53" i="20" s="1"/>
  <c r="AC53" i="20" s="1"/>
  <c r="AD53" i="20"/>
  <c r="BK53" i="20"/>
  <c r="BA53" i="20"/>
  <c r="AZ53" i="20"/>
  <c r="AJ53" i="20"/>
  <c r="AY53" i="20"/>
  <c r="AN53" i="20"/>
  <c r="AV53" i="20"/>
  <c r="AW53" i="20"/>
  <c r="AK53" i="20"/>
  <c r="AM53" i="20"/>
  <c r="AP60" i="10"/>
  <c r="F25" i="8"/>
  <c r="H25" i="8"/>
  <c r="AO60" i="10"/>
  <c r="I75" i="10"/>
  <c r="L60" i="10"/>
  <c r="BD60" i="10"/>
  <c r="BF60" i="10"/>
  <c r="D61" i="10" s="1"/>
  <c r="U61" i="10" s="1"/>
  <c r="BG60" i="10"/>
  <c r="E61" i="10" s="1"/>
  <c r="V61" i="10" s="1"/>
  <c r="BI60" i="10"/>
  <c r="G61" i="10" s="1"/>
  <c r="BJ60" i="10"/>
  <c r="H61" i="10" s="1"/>
  <c r="Y61" i="10" s="1"/>
  <c r="BL57" i="22" l="1"/>
  <c r="B58" i="22"/>
  <c r="AQ57" i="22"/>
  <c r="AO68" i="12"/>
  <c r="AT69" i="12"/>
  <c r="B70" i="12" s="1"/>
  <c r="I70" i="12" s="1"/>
  <c r="Z69" i="12"/>
  <c r="S70" i="12"/>
  <c r="Z70" i="12" s="1"/>
  <c r="I71" i="12" s="1"/>
  <c r="AP68" i="12"/>
  <c r="J69" i="12"/>
  <c r="K69" i="12" s="1"/>
  <c r="L69" i="12" s="1"/>
  <c r="I80" i="12"/>
  <c r="I54" i="26"/>
  <c r="J54" i="26" s="1"/>
  <c r="K54" i="26" s="1"/>
  <c r="L54" i="26" s="1"/>
  <c r="AQ53" i="23"/>
  <c r="B54" i="23"/>
  <c r="BL53" i="23"/>
  <c r="BJ53" i="20"/>
  <c r="H54" i="20" s="1"/>
  <c r="Y54" i="20" s="1"/>
  <c r="BI53" i="20"/>
  <c r="G54" i="20" s="1"/>
  <c r="X54" i="20" s="1"/>
  <c r="BG53" i="20"/>
  <c r="E54" i="20" s="1"/>
  <c r="V54" i="20" s="1"/>
  <c r="BF53" i="20"/>
  <c r="D54" i="20" s="1"/>
  <c r="U54" i="20" s="1"/>
  <c r="BD53" i="20"/>
  <c r="AP53" i="20"/>
  <c r="AO53" i="20"/>
  <c r="AQ60" i="10"/>
  <c r="F26" i="8"/>
  <c r="H26" i="8"/>
  <c r="BG61" i="10"/>
  <c r="E62" i="10" s="1"/>
  <c r="V62" i="10" s="1"/>
  <c r="BF61" i="10"/>
  <c r="D62" i="10" s="1"/>
  <c r="U62" i="10" s="1"/>
  <c r="B61" i="10"/>
  <c r="BL60" i="10"/>
  <c r="BJ61" i="10"/>
  <c r="H62" i="10" s="1"/>
  <c r="Y62" i="10" s="1"/>
  <c r="X61" i="10"/>
  <c r="I58" i="22" l="1"/>
  <c r="J58" i="22" s="1"/>
  <c r="K58" i="22" s="1"/>
  <c r="L58" i="22" s="1"/>
  <c r="S58" i="22"/>
  <c r="BB69" i="12"/>
  <c r="BA69" i="12"/>
  <c r="AD69" i="12"/>
  <c r="AA69" i="12"/>
  <c r="AN69" i="12"/>
  <c r="AJ69" i="12"/>
  <c r="AK69" i="12"/>
  <c r="AM69" i="12"/>
  <c r="I77" i="12"/>
  <c r="AH69" i="12"/>
  <c r="I73" i="12"/>
  <c r="G24" i="8" s="1"/>
  <c r="G22" i="8"/>
  <c r="AQ68" i="12"/>
  <c r="Z54" i="26"/>
  <c r="AT54" i="26" s="1"/>
  <c r="I54" i="23"/>
  <c r="J54" i="23" s="1"/>
  <c r="K54" i="23" s="1"/>
  <c r="L54" i="23" s="1"/>
  <c r="S54" i="23"/>
  <c r="B54" i="20"/>
  <c r="BL53" i="20"/>
  <c r="AQ53" i="20"/>
  <c r="BI61" i="10"/>
  <c r="G62" i="10" s="1"/>
  <c r="S61" i="10"/>
  <c r="I61" i="10"/>
  <c r="BD58" i="22" l="1"/>
  <c r="Z58" i="22"/>
  <c r="E59" i="22"/>
  <c r="V59" i="22" s="1"/>
  <c r="D59" i="22"/>
  <c r="U59" i="22" s="1"/>
  <c r="H59" i="22"/>
  <c r="Y59" i="22" s="1"/>
  <c r="G59" i="22"/>
  <c r="X59" i="22" s="1"/>
  <c r="AB69" i="12"/>
  <c r="AC69" i="12" s="1"/>
  <c r="I72" i="12" s="1"/>
  <c r="G23" i="8" s="1"/>
  <c r="I78" i="12"/>
  <c r="AP69" i="12"/>
  <c r="D30" i="8"/>
  <c r="AO69" i="12"/>
  <c r="K21" i="8"/>
  <c r="G21" i="8"/>
  <c r="AA54" i="26"/>
  <c r="AB54" i="26" s="1"/>
  <c r="AC54" i="26" s="1"/>
  <c r="BA54" i="26"/>
  <c r="AD54" i="26"/>
  <c r="BK54" i="26"/>
  <c r="AN54" i="26"/>
  <c r="AK54" i="26"/>
  <c r="AY54" i="26"/>
  <c r="AV54" i="26"/>
  <c r="AM54" i="26"/>
  <c r="AJ54" i="26"/>
  <c r="AZ54" i="26"/>
  <c r="AW54" i="26"/>
  <c r="AH54" i="26"/>
  <c r="Z54" i="23"/>
  <c r="AT54" i="23" s="1"/>
  <c r="I54" i="20"/>
  <c r="J54" i="20" s="1"/>
  <c r="K54" i="20" s="1"/>
  <c r="L54" i="20" s="1"/>
  <c r="S54" i="20"/>
  <c r="X62" i="10"/>
  <c r="J61" i="10"/>
  <c r="K61" i="10" s="1"/>
  <c r="L61" i="10" s="1"/>
  <c r="BD61" i="10"/>
  <c r="B62" i="10" s="1"/>
  <c r="Z61" i="10"/>
  <c r="AT58" i="22" l="1"/>
  <c r="AY58" i="22"/>
  <c r="AJ58" i="22"/>
  <c r="AA58" i="22"/>
  <c r="AB58" i="22" s="1"/>
  <c r="AC58" i="22" s="1"/>
  <c r="BA58" i="22"/>
  <c r="AD58" i="22"/>
  <c r="AZ58" i="22"/>
  <c r="AH58" i="22"/>
  <c r="AN58" i="22"/>
  <c r="AM58" i="22"/>
  <c r="AW58" i="22"/>
  <c r="AV58" i="22"/>
  <c r="BK58" i="22"/>
  <c r="AK58" i="22"/>
  <c r="B59" i="22"/>
  <c r="BL58" i="22"/>
  <c r="BJ59" i="22"/>
  <c r="H60" i="22" s="1"/>
  <c r="Y60" i="22" s="1"/>
  <c r="BI59" i="22"/>
  <c r="G60" i="22" s="1"/>
  <c r="X60" i="22" s="1"/>
  <c r="BI60" i="22" s="1"/>
  <c r="BG59" i="22"/>
  <c r="E60" i="22" s="1"/>
  <c r="V60" i="22" s="1"/>
  <c r="BG60" i="22" s="1"/>
  <c r="BF59" i="22"/>
  <c r="D60" i="22" s="1"/>
  <c r="U60" i="22" s="1"/>
  <c r="BF60" i="22" s="1"/>
  <c r="AH54" i="23"/>
  <c r="AQ69" i="12"/>
  <c r="AP54" i="26"/>
  <c r="AO54" i="26"/>
  <c r="BI54" i="26"/>
  <c r="G55" i="26" s="1"/>
  <c r="BG54" i="26"/>
  <c r="E55" i="26" s="1"/>
  <c r="BF54" i="26"/>
  <c r="D55" i="26" s="1"/>
  <c r="BJ54" i="26"/>
  <c r="H55" i="26" s="1"/>
  <c r="Y55" i="26" s="1"/>
  <c r="BD54" i="26"/>
  <c r="BA54" i="23"/>
  <c r="AD54" i="23"/>
  <c r="BK54" i="23"/>
  <c r="AA54" i="23"/>
  <c r="AB54" i="23" s="1"/>
  <c r="AC54" i="23" s="1"/>
  <c r="AN54" i="23"/>
  <c r="AK54" i="23"/>
  <c r="AW54" i="23"/>
  <c r="AY54" i="23"/>
  <c r="AM54" i="23"/>
  <c r="AV54" i="23"/>
  <c r="AZ54" i="23"/>
  <c r="AJ54" i="23"/>
  <c r="Z54" i="20"/>
  <c r="AH54" i="20" s="1"/>
  <c r="AT61" i="10"/>
  <c r="AM61" i="10"/>
  <c r="AH61" i="10"/>
  <c r="AA61" i="10"/>
  <c r="AB61" i="10" s="1"/>
  <c r="AC61" i="10" s="1"/>
  <c r="BK61" i="10"/>
  <c r="AD61" i="10"/>
  <c r="BA61" i="10"/>
  <c r="BL61" i="10"/>
  <c r="AJ61" i="10"/>
  <c r="AW61" i="10"/>
  <c r="AV61" i="10"/>
  <c r="AZ61" i="10"/>
  <c r="AK61" i="10"/>
  <c r="AN61" i="10"/>
  <c r="AY61" i="10"/>
  <c r="S62" i="10"/>
  <c r="I62" i="10"/>
  <c r="AP58" i="22" l="1"/>
  <c r="AO58" i="22"/>
  <c r="AQ58" i="22" s="1"/>
  <c r="BJ60" i="22"/>
  <c r="S59" i="22"/>
  <c r="I59" i="22"/>
  <c r="J59" i="22" s="1"/>
  <c r="K59" i="22" s="1"/>
  <c r="L59" i="22" s="1"/>
  <c r="AQ54" i="26"/>
  <c r="B55" i="26"/>
  <c r="S55" i="26" s="1"/>
  <c r="BL54" i="26"/>
  <c r="AP54" i="23"/>
  <c r="AO54" i="23"/>
  <c r="BG54" i="23"/>
  <c r="E55" i="23" s="1"/>
  <c r="V55" i="23" s="1"/>
  <c r="BI54" i="23"/>
  <c r="G55" i="23" s="1"/>
  <c r="X55" i="23" s="1"/>
  <c r="BF54" i="23"/>
  <c r="D55" i="23" s="1"/>
  <c r="U55" i="23" s="1"/>
  <c r="BJ54" i="23"/>
  <c r="H55" i="23" s="1"/>
  <c r="Y55" i="23" s="1"/>
  <c r="BD54" i="23"/>
  <c r="AT54" i="20"/>
  <c r="BK54" i="20"/>
  <c r="AA54" i="20"/>
  <c r="AB54" i="20" s="1"/>
  <c r="AC54" i="20" s="1"/>
  <c r="AD54" i="20"/>
  <c r="BA54" i="20"/>
  <c r="AJ54" i="20"/>
  <c r="AK54" i="20"/>
  <c r="AV54" i="20"/>
  <c r="AZ54" i="20"/>
  <c r="AN54" i="20"/>
  <c r="AW54" i="20"/>
  <c r="AM54" i="20"/>
  <c r="AY54" i="20"/>
  <c r="AP61" i="10"/>
  <c r="AO61" i="10"/>
  <c r="J62" i="10"/>
  <c r="K62" i="10" s="1"/>
  <c r="L62" i="10" s="1"/>
  <c r="Z62" i="10"/>
  <c r="AM62" i="10" s="1"/>
  <c r="BD59" i="22" l="1"/>
  <c r="Z59" i="22"/>
  <c r="AH59" i="22" s="1"/>
  <c r="AQ54" i="23"/>
  <c r="I55" i="26"/>
  <c r="J55" i="26" s="1"/>
  <c r="K55" i="26" s="1"/>
  <c r="L55" i="26" s="1"/>
  <c r="B55" i="23"/>
  <c r="BL54" i="23"/>
  <c r="AP54" i="20"/>
  <c r="BD54" i="20"/>
  <c r="BJ54" i="20"/>
  <c r="H55" i="20" s="1"/>
  <c r="Y55" i="20" s="1"/>
  <c r="BI54" i="20"/>
  <c r="G55" i="20" s="1"/>
  <c r="X55" i="20" s="1"/>
  <c r="BG54" i="20"/>
  <c r="E55" i="20" s="1"/>
  <c r="V55" i="20" s="1"/>
  <c r="BF54" i="20"/>
  <c r="D55" i="20" s="1"/>
  <c r="U55" i="20" s="1"/>
  <c r="AO54" i="20"/>
  <c r="AQ61" i="10"/>
  <c r="BK62" i="10"/>
  <c r="BA62" i="10"/>
  <c r="AA62" i="10"/>
  <c r="AB62" i="10" s="1"/>
  <c r="AC62" i="10" s="1"/>
  <c r="AD62" i="10"/>
  <c r="AV62" i="10"/>
  <c r="AJ62" i="10"/>
  <c r="AK62" i="10"/>
  <c r="AZ62" i="10"/>
  <c r="AW62" i="10"/>
  <c r="AN62" i="10"/>
  <c r="AY62" i="10"/>
  <c r="AH62" i="10"/>
  <c r="AT62" i="10"/>
  <c r="AT59" i="22" l="1"/>
  <c r="AD59" i="22"/>
  <c r="BK59" i="22"/>
  <c r="BA59" i="22"/>
  <c r="AA59" i="22"/>
  <c r="AB59" i="22" s="1"/>
  <c r="AC59" i="22" s="1"/>
  <c r="AN59" i="22"/>
  <c r="AV59" i="22"/>
  <c r="AY59" i="22"/>
  <c r="AK59" i="22"/>
  <c r="AJ59" i="22"/>
  <c r="AM59" i="22"/>
  <c r="AW59" i="22"/>
  <c r="AZ59" i="22"/>
  <c r="BL59" i="22"/>
  <c r="B60" i="22"/>
  <c r="Z55" i="26"/>
  <c r="AT55" i="26" s="1"/>
  <c r="S55" i="23"/>
  <c r="I55" i="23"/>
  <c r="J55" i="23" s="1"/>
  <c r="K55" i="23" s="1"/>
  <c r="L55" i="23" s="1"/>
  <c r="AQ54" i="20"/>
  <c r="B55" i="20"/>
  <c r="BL54" i="20"/>
  <c r="AP62" i="10"/>
  <c r="AO62" i="10"/>
  <c r="BD62" i="10"/>
  <c r="BG62" i="10"/>
  <c r="E63" i="10" s="1"/>
  <c r="V63" i="10" s="1"/>
  <c r="BJ62" i="10"/>
  <c r="H63" i="10" s="1"/>
  <c r="Y63" i="10" s="1"/>
  <c r="BF62" i="10"/>
  <c r="D63" i="10" s="1"/>
  <c r="U63" i="10" s="1"/>
  <c r="BI62" i="10"/>
  <c r="G63" i="10" s="1"/>
  <c r="AO59" i="22" l="1"/>
  <c r="AP59" i="22"/>
  <c r="S60" i="22"/>
  <c r="BD60" i="22" s="1"/>
  <c r="I60" i="22"/>
  <c r="J60" i="22" s="1"/>
  <c r="AA55" i="26"/>
  <c r="AB55" i="26" s="1"/>
  <c r="AC55" i="26" s="1"/>
  <c r="BA55" i="26"/>
  <c r="AD55" i="26"/>
  <c r="BK55" i="26"/>
  <c r="AW55" i="26"/>
  <c r="AY55" i="26"/>
  <c r="AV55" i="26"/>
  <c r="AK55" i="26"/>
  <c r="AM55" i="26"/>
  <c r="AJ55" i="26"/>
  <c r="AN55" i="26"/>
  <c r="AZ55" i="26"/>
  <c r="AH55" i="26"/>
  <c r="Z55" i="23"/>
  <c r="AT55" i="23" s="1"/>
  <c r="S55" i="20"/>
  <c r="I55" i="20"/>
  <c r="J55" i="20" s="1"/>
  <c r="K55" i="20" s="1"/>
  <c r="L55" i="20" s="1"/>
  <c r="AQ62" i="10"/>
  <c r="BF63" i="10"/>
  <c r="D64" i="10" s="1"/>
  <c r="U64" i="10" s="1"/>
  <c r="BJ63" i="10"/>
  <c r="H64" i="10" s="1"/>
  <c r="Y64" i="10" s="1"/>
  <c r="X63" i="10"/>
  <c r="BG63" i="10"/>
  <c r="E64" i="10" s="1"/>
  <c r="V64" i="10" s="1"/>
  <c r="B63" i="10"/>
  <c r="BL62" i="10"/>
  <c r="AQ59" i="22" l="1"/>
  <c r="K60" i="22"/>
  <c r="I69" i="22"/>
  <c r="Z60" i="22"/>
  <c r="AZ60" i="22" s="1"/>
  <c r="AP55" i="26"/>
  <c r="AO55" i="26"/>
  <c r="BJ55" i="26"/>
  <c r="H56" i="26" s="1"/>
  <c r="Y56" i="26" s="1"/>
  <c r="BD55" i="26"/>
  <c r="BI55" i="26"/>
  <c r="G56" i="26" s="1"/>
  <c r="BG55" i="26"/>
  <c r="E56" i="26" s="1"/>
  <c r="BF55" i="26"/>
  <c r="D56" i="26" s="1"/>
  <c r="BK55" i="23"/>
  <c r="AD55" i="23"/>
  <c r="BA55" i="23"/>
  <c r="AA55" i="23"/>
  <c r="AB55" i="23" s="1"/>
  <c r="AC55" i="23" s="1"/>
  <c r="AV55" i="23"/>
  <c r="AK55" i="23"/>
  <c r="AY55" i="23"/>
  <c r="AJ55" i="23"/>
  <c r="AM55" i="23"/>
  <c r="AW55" i="23"/>
  <c r="AZ55" i="23"/>
  <c r="AN55" i="23"/>
  <c r="AH55" i="23"/>
  <c r="Z55" i="20"/>
  <c r="AH55" i="20" s="1"/>
  <c r="BJ64" i="10"/>
  <c r="H65" i="10" s="1"/>
  <c r="Y65" i="10" s="1"/>
  <c r="BG64" i="10"/>
  <c r="E65" i="10" s="1"/>
  <c r="BI63" i="10"/>
  <c r="G64" i="10" s="1"/>
  <c r="I63" i="10"/>
  <c r="S63" i="10"/>
  <c r="BF64" i="10"/>
  <c r="D65" i="10" s="1"/>
  <c r="U65" i="10" s="1"/>
  <c r="AD60" i="22" l="1"/>
  <c r="AK60" i="22"/>
  <c r="BA60" i="22"/>
  <c r="AN60" i="22"/>
  <c r="AM60" i="22"/>
  <c r="AA60" i="22"/>
  <c r="AB60" i="22" s="1"/>
  <c r="AC60" i="22" s="1"/>
  <c r="AY60" i="22"/>
  <c r="BK60" i="22"/>
  <c r="AW60" i="22"/>
  <c r="AV60" i="22"/>
  <c r="AJ60" i="22"/>
  <c r="AT60" i="22"/>
  <c r="AH60" i="22"/>
  <c r="L60" i="22"/>
  <c r="I70" i="22"/>
  <c r="AQ55" i="26"/>
  <c r="B56" i="26"/>
  <c r="S56" i="26" s="1"/>
  <c r="BL55" i="26"/>
  <c r="BJ55" i="23"/>
  <c r="H56" i="23" s="1"/>
  <c r="Y56" i="23" s="1"/>
  <c r="BI55" i="23"/>
  <c r="G56" i="23" s="1"/>
  <c r="X56" i="23" s="1"/>
  <c r="BF55" i="23"/>
  <c r="D56" i="23" s="1"/>
  <c r="U56" i="23" s="1"/>
  <c r="BG55" i="23"/>
  <c r="E56" i="23" s="1"/>
  <c r="V56" i="23" s="1"/>
  <c r="BD55" i="23"/>
  <c r="AO55" i="23"/>
  <c r="AP55" i="23"/>
  <c r="AT55" i="20"/>
  <c r="BK55" i="20"/>
  <c r="BA55" i="20"/>
  <c r="AD55" i="20"/>
  <c r="AA55" i="20"/>
  <c r="AB55" i="20" s="1"/>
  <c r="AC55" i="20" s="1"/>
  <c r="AY55" i="20"/>
  <c r="AN55" i="20"/>
  <c r="AM55" i="20"/>
  <c r="AZ55" i="20"/>
  <c r="AV55" i="20"/>
  <c r="AK55" i="20"/>
  <c r="AW55" i="20"/>
  <c r="AJ55" i="20"/>
  <c r="BJ65" i="10"/>
  <c r="H66" i="10" s="1"/>
  <c r="Y66" i="10" s="1"/>
  <c r="BF65" i="10"/>
  <c r="D66" i="10" s="1"/>
  <c r="U66" i="10" s="1"/>
  <c r="V65" i="10"/>
  <c r="J63" i="10"/>
  <c r="K63" i="10" s="1"/>
  <c r="L63" i="10" s="1"/>
  <c r="X64" i="10"/>
  <c r="BD63" i="10"/>
  <c r="B64" i="10" s="1"/>
  <c r="Z63" i="10"/>
  <c r="E61" i="22" l="1"/>
  <c r="V61" i="22" s="1"/>
  <c r="D61" i="22"/>
  <c r="U61" i="22" s="1"/>
  <c r="H61" i="22"/>
  <c r="Y61" i="22" s="1"/>
  <c r="G61" i="22"/>
  <c r="X61" i="22" s="1"/>
  <c r="AP60" i="22"/>
  <c r="AO60" i="22"/>
  <c r="I56" i="26"/>
  <c r="J56" i="26" s="1"/>
  <c r="K56" i="26" s="1"/>
  <c r="L56" i="26" s="1"/>
  <c r="AQ55" i="23"/>
  <c r="B56" i="23"/>
  <c r="BL55" i="23"/>
  <c r="AP55" i="20"/>
  <c r="AO55" i="20"/>
  <c r="BG55" i="20"/>
  <c r="E56" i="20" s="1"/>
  <c r="V56" i="20" s="1"/>
  <c r="BF55" i="20"/>
  <c r="D56" i="20" s="1"/>
  <c r="U56" i="20" s="1"/>
  <c r="BD55" i="20"/>
  <c r="BJ55" i="20"/>
  <c r="H56" i="20" s="1"/>
  <c r="Y56" i="20" s="1"/>
  <c r="BI55" i="20"/>
  <c r="G56" i="20" s="1"/>
  <c r="X56" i="20" s="1"/>
  <c r="BG65" i="10"/>
  <c r="E66" i="10" s="1"/>
  <c r="V66" i="10" s="1"/>
  <c r="AT63" i="10"/>
  <c r="AM63" i="10"/>
  <c r="BI64" i="10"/>
  <c r="G65" i="10" s="1"/>
  <c r="X65" i="10" s="1"/>
  <c r="AD63" i="10"/>
  <c r="BL63" i="10"/>
  <c r="BK63" i="10"/>
  <c r="AA63" i="10"/>
  <c r="AB63" i="10" s="1"/>
  <c r="AC63" i="10" s="1"/>
  <c r="BA63" i="10"/>
  <c r="AJ63" i="10"/>
  <c r="AZ63" i="10"/>
  <c r="AK63" i="10"/>
  <c r="AV63" i="10"/>
  <c r="AW63" i="10"/>
  <c r="AN63" i="10"/>
  <c r="AY63" i="10"/>
  <c r="AH63" i="10"/>
  <c r="I64" i="10"/>
  <c r="S64" i="10"/>
  <c r="B61" i="22" l="1"/>
  <c r="BL60" i="22"/>
  <c r="AQ60" i="22"/>
  <c r="Z56" i="26"/>
  <c r="S56" i="23"/>
  <c r="I56" i="23"/>
  <c r="J56" i="23" s="1"/>
  <c r="K56" i="23" s="1"/>
  <c r="L56" i="23" s="1"/>
  <c r="AQ55" i="20"/>
  <c r="B56" i="20"/>
  <c r="BL55" i="20"/>
  <c r="BI65" i="10"/>
  <c r="G66" i="10" s="1"/>
  <c r="X66" i="10" s="1"/>
  <c r="AP63" i="10"/>
  <c r="AO63" i="10"/>
  <c r="J64" i="10"/>
  <c r="K64" i="10" s="1"/>
  <c r="L64" i="10" s="1"/>
  <c r="BD64" i="10"/>
  <c r="B65" i="10" s="1"/>
  <c r="Z64" i="10"/>
  <c r="I61" i="22" l="1"/>
  <c r="J61" i="22" s="1"/>
  <c r="K61" i="22" s="1"/>
  <c r="L61" i="22" s="1"/>
  <c r="S61" i="22"/>
  <c r="BK56" i="26"/>
  <c r="AA56" i="26"/>
  <c r="AB56" i="26" s="1"/>
  <c r="AC56" i="26" s="1"/>
  <c r="BA56" i="26"/>
  <c r="AD56" i="26"/>
  <c r="AW56" i="26"/>
  <c r="AJ56" i="26"/>
  <c r="AK56" i="26"/>
  <c r="AV56" i="26"/>
  <c r="AM56" i="26"/>
  <c r="AZ56" i="26"/>
  <c r="AN56" i="26"/>
  <c r="AY56" i="26"/>
  <c r="AH56" i="26"/>
  <c r="AT56" i="26"/>
  <c r="Z56" i="23"/>
  <c r="AH56" i="23" s="1"/>
  <c r="S56" i="20"/>
  <c r="I56" i="20"/>
  <c r="J56" i="20" s="1"/>
  <c r="K56" i="20" s="1"/>
  <c r="L56" i="20" s="1"/>
  <c r="S65" i="10"/>
  <c r="I65" i="10"/>
  <c r="J65" i="10" s="1"/>
  <c r="K65" i="10" s="1"/>
  <c r="L65" i="10" s="1"/>
  <c r="AQ63" i="10"/>
  <c r="AT64" i="10"/>
  <c r="AM64" i="10"/>
  <c r="BA64" i="10"/>
  <c r="BK64" i="10"/>
  <c r="AA64" i="10"/>
  <c r="AB64" i="10" s="1"/>
  <c r="AC64" i="10" s="1"/>
  <c r="AD64" i="10"/>
  <c r="BL64" i="10"/>
  <c r="AJ64" i="10"/>
  <c r="AZ64" i="10"/>
  <c r="AW64" i="10"/>
  <c r="AV64" i="10"/>
  <c r="AN64" i="10"/>
  <c r="AK64" i="10"/>
  <c r="AY64" i="10"/>
  <c r="AH64" i="10"/>
  <c r="Z61" i="22" l="1"/>
  <c r="AH61" i="22"/>
  <c r="AT56" i="23"/>
  <c r="AO56" i="26"/>
  <c r="AP56" i="26"/>
  <c r="BF56" i="26"/>
  <c r="D57" i="26" s="1"/>
  <c r="BJ56" i="26"/>
  <c r="H57" i="26" s="1"/>
  <c r="Y57" i="26" s="1"/>
  <c r="BD56" i="26"/>
  <c r="BI56" i="26"/>
  <c r="G57" i="26" s="1"/>
  <c r="BG56" i="26"/>
  <c r="E57" i="26" s="1"/>
  <c r="BK56" i="23"/>
  <c r="BA56" i="23"/>
  <c r="AD56" i="23"/>
  <c r="AA56" i="23"/>
  <c r="AB56" i="23" s="1"/>
  <c r="AC56" i="23" s="1"/>
  <c r="AY56" i="23"/>
  <c r="AW56" i="23"/>
  <c r="AK56" i="23"/>
  <c r="AM56" i="23"/>
  <c r="AZ56" i="23"/>
  <c r="AV56" i="23"/>
  <c r="AN56" i="23"/>
  <c r="AJ56" i="23"/>
  <c r="Z56" i="20"/>
  <c r="AT56" i="20" s="1"/>
  <c r="BD65" i="10"/>
  <c r="B66" i="10" s="1"/>
  <c r="Z65" i="10"/>
  <c r="AP64" i="10"/>
  <c r="AO64" i="10"/>
  <c r="AT61" i="22" l="1"/>
  <c r="AA61" i="22"/>
  <c r="AB61" i="22" s="1"/>
  <c r="AC61" i="22" s="1"/>
  <c r="AY61" i="22"/>
  <c r="AZ61" i="22"/>
  <c r="AN61" i="22"/>
  <c r="AM61" i="22"/>
  <c r="AK61" i="22"/>
  <c r="BK61" i="22"/>
  <c r="AD61" i="22"/>
  <c r="BA61" i="22"/>
  <c r="AW61" i="22"/>
  <c r="AJ61" i="22"/>
  <c r="AV61" i="22"/>
  <c r="B57" i="26"/>
  <c r="S57" i="26" s="1"/>
  <c r="BL56" i="26"/>
  <c r="AQ56" i="26"/>
  <c r="AO56" i="23"/>
  <c r="BJ56" i="23"/>
  <c r="H57" i="23" s="1"/>
  <c r="Y57" i="23" s="1"/>
  <c r="BG56" i="23"/>
  <c r="E57" i="23" s="1"/>
  <c r="V57" i="23" s="1"/>
  <c r="BI56" i="23"/>
  <c r="G57" i="23" s="1"/>
  <c r="X57" i="23" s="1"/>
  <c r="BD56" i="23"/>
  <c r="BF56" i="23"/>
  <c r="D57" i="23" s="1"/>
  <c r="U57" i="23" s="1"/>
  <c r="AP56" i="23"/>
  <c r="AH56" i="20"/>
  <c r="BA56" i="20"/>
  <c r="AD56" i="20"/>
  <c r="BK56" i="20"/>
  <c r="AA56" i="20"/>
  <c r="AB56" i="20" s="1"/>
  <c r="AC56" i="20" s="1"/>
  <c r="AN56" i="20"/>
  <c r="AY56" i="20"/>
  <c r="AK56" i="20"/>
  <c r="AZ56" i="20"/>
  <c r="AM56" i="20"/>
  <c r="AW56" i="20"/>
  <c r="AJ56" i="20"/>
  <c r="AV56" i="20"/>
  <c r="BA65" i="10"/>
  <c r="BK65" i="10"/>
  <c r="BL65" i="10"/>
  <c r="AD65" i="10"/>
  <c r="AA65" i="10"/>
  <c r="AB65" i="10" s="1"/>
  <c r="AC65" i="10" s="1"/>
  <c r="AZ65" i="10"/>
  <c r="AV65" i="10"/>
  <c r="AJ65" i="10"/>
  <c r="AN65" i="10"/>
  <c r="AW65" i="10"/>
  <c r="AK65" i="10"/>
  <c r="AY65" i="10"/>
  <c r="AM65" i="10"/>
  <c r="AH65" i="10"/>
  <c r="AT65" i="10"/>
  <c r="I66" i="10"/>
  <c r="J66" i="10" s="1"/>
  <c r="K66" i="10" s="1"/>
  <c r="L66" i="10" s="1"/>
  <c r="S66" i="10"/>
  <c r="AQ64" i="10"/>
  <c r="BG61" i="22" l="1"/>
  <c r="E62" i="22" s="1"/>
  <c r="V62" i="22" s="1"/>
  <c r="BG62" i="22" s="1"/>
  <c r="E63" i="22" s="1"/>
  <c r="V63" i="22" s="1"/>
  <c r="BJ61" i="22"/>
  <c r="H62" i="22" s="1"/>
  <c r="Y62" i="22" s="1"/>
  <c r="BJ62" i="22" s="1"/>
  <c r="H63" i="22" s="1"/>
  <c r="Y63" i="22" s="1"/>
  <c r="BI61" i="22"/>
  <c r="G62" i="22" s="1"/>
  <c r="X62" i="22" s="1"/>
  <c r="BI62" i="22" s="1"/>
  <c r="G63" i="22" s="1"/>
  <c r="X63" i="22" s="1"/>
  <c r="BF61" i="22"/>
  <c r="D62" i="22" s="1"/>
  <c r="U62" i="22" s="1"/>
  <c r="BF62" i="22" s="1"/>
  <c r="D63" i="22" s="1"/>
  <c r="U63" i="22" s="1"/>
  <c r="BD61" i="22"/>
  <c r="AO61" i="22"/>
  <c r="AP61" i="22"/>
  <c r="AQ56" i="23"/>
  <c r="I57" i="26"/>
  <c r="J57" i="26" s="1"/>
  <c r="K57" i="26" s="1"/>
  <c r="L57" i="26" s="1"/>
  <c r="B57" i="23"/>
  <c r="BL56" i="23"/>
  <c r="BG56" i="20"/>
  <c r="E57" i="20" s="1"/>
  <c r="V57" i="20" s="1"/>
  <c r="BJ56" i="20"/>
  <c r="H57" i="20" s="1"/>
  <c r="Y57" i="20" s="1"/>
  <c r="BF56" i="20"/>
  <c r="D57" i="20" s="1"/>
  <c r="U57" i="20" s="1"/>
  <c r="BD56" i="20"/>
  <c r="BI56" i="20"/>
  <c r="G57" i="20" s="1"/>
  <c r="X57" i="20" s="1"/>
  <c r="AP56" i="20"/>
  <c r="AO56" i="20"/>
  <c r="AP65" i="10"/>
  <c r="AO65" i="10"/>
  <c r="Z66" i="10"/>
  <c r="AH66" i="10" s="1"/>
  <c r="B62" i="22" l="1"/>
  <c r="BL61" i="22"/>
  <c r="AQ61" i="22"/>
  <c r="Z57" i="26"/>
  <c r="AT57" i="26" s="1"/>
  <c r="I57" i="23"/>
  <c r="J57" i="23" s="1"/>
  <c r="K57" i="23" s="1"/>
  <c r="L57" i="23" s="1"/>
  <c r="S57" i="23"/>
  <c r="AQ56" i="20"/>
  <c r="AN66" i="10"/>
  <c r="AJ66" i="10"/>
  <c r="AK66" i="10"/>
  <c r="AM66" i="10"/>
  <c r="B57" i="20"/>
  <c r="BL56" i="20"/>
  <c r="AT66" i="10"/>
  <c r="AA66" i="10"/>
  <c r="AB66" i="10" s="1"/>
  <c r="AC66" i="10" s="1"/>
  <c r="AD66" i="10"/>
  <c r="BA66" i="10"/>
  <c r="BK66" i="10"/>
  <c r="AV66" i="10"/>
  <c r="AZ66" i="10"/>
  <c r="AW66" i="10"/>
  <c r="AY66" i="10"/>
  <c r="AQ65" i="10"/>
  <c r="I62" i="22" l="1"/>
  <c r="J62" i="22" s="1"/>
  <c r="K62" i="22" s="1"/>
  <c r="L62" i="22" s="1"/>
  <c r="S62" i="22"/>
  <c r="AH57" i="26"/>
  <c r="BA57" i="26"/>
  <c r="AD57" i="26"/>
  <c r="BK57" i="26"/>
  <c r="AA57" i="26"/>
  <c r="AB57" i="26" s="1"/>
  <c r="AC57" i="26" s="1"/>
  <c r="AZ57" i="26"/>
  <c r="AY57" i="26"/>
  <c r="AM57" i="26"/>
  <c r="AV57" i="26"/>
  <c r="AW57" i="26"/>
  <c r="AN57" i="26"/>
  <c r="AK57" i="26"/>
  <c r="AJ57" i="26"/>
  <c r="Z57" i="23"/>
  <c r="AH57" i="23" s="1"/>
  <c r="AP66" i="10"/>
  <c r="I57" i="20"/>
  <c r="J57" i="20" s="1"/>
  <c r="K57" i="20" s="1"/>
  <c r="L57" i="20" s="1"/>
  <c r="S57" i="20"/>
  <c r="AO66" i="10"/>
  <c r="BF66" i="10"/>
  <c r="BD66" i="10"/>
  <c r="B67" i="10" s="1"/>
  <c r="BJ66" i="10"/>
  <c r="BI66" i="10"/>
  <c r="BG66" i="10"/>
  <c r="E67" i="10" s="1"/>
  <c r="BD62" i="22" l="1"/>
  <c r="Z62" i="22"/>
  <c r="AT62" i="22"/>
  <c r="H67" i="10"/>
  <c r="Y67" i="10" s="1"/>
  <c r="BJ67" i="10" s="1"/>
  <c r="H68" i="10" s="1"/>
  <c r="Y68" i="10" s="1"/>
  <c r="D67" i="10"/>
  <c r="U67" i="10" s="1"/>
  <c r="BF67" i="10" s="1"/>
  <c r="D68" i="10" s="1"/>
  <c r="U68" i="10" s="1"/>
  <c r="G67" i="10"/>
  <c r="X67" i="10" s="1"/>
  <c r="BI67" i="10" s="1"/>
  <c r="G68" i="10" s="1"/>
  <c r="X68" i="10" s="1"/>
  <c r="BG57" i="26"/>
  <c r="E58" i="26" s="1"/>
  <c r="BF57" i="26"/>
  <c r="D58" i="26" s="1"/>
  <c r="BJ57" i="26"/>
  <c r="H58" i="26" s="1"/>
  <c r="Y58" i="26" s="1"/>
  <c r="BD57" i="26"/>
  <c r="BI57" i="26"/>
  <c r="G58" i="26" s="1"/>
  <c r="AP57" i="26"/>
  <c r="AO57" i="26"/>
  <c r="BA57" i="23"/>
  <c r="AD57" i="23"/>
  <c r="BK57" i="23"/>
  <c r="AA57" i="23"/>
  <c r="AB57" i="23" s="1"/>
  <c r="AC57" i="23" s="1"/>
  <c r="AM57" i="23"/>
  <c r="AZ57" i="23"/>
  <c r="AN57" i="23"/>
  <c r="AY57" i="23"/>
  <c r="AJ57" i="23"/>
  <c r="AW57" i="23"/>
  <c r="AV57" i="23"/>
  <c r="AK57" i="23"/>
  <c r="AT57" i="23"/>
  <c r="AQ66" i="10"/>
  <c r="S67" i="10"/>
  <c r="BD71" i="10"/>
  <c r="Z57" i="20"/>
  <c r="AT57" i="20" s="1"/>
  <c r="V67" i="10"/>
  <c r="BL66" i="10"/>
  <c r="AH62" i="22" l="1"/>
  <c r="AW62" i="22"/>
  <c r="AA62" i="22"/>
  <c r="AB62" i="22" s="1"/>
  <c r="AC62" i="22" s="1"/>
  <c r="AD62" i="22"/>
  <c r="AM62" i="22"/>
  <c r="AN62" i="22"/>
  <c r="BA62" i="22"/>
  <c r="AZ62" i="22"/>
  <c r="AY62" i="22"/>
  <c r="AK62" i="22"/>
  <c r="BK62" i="22"/>
  <c r="AV62" i="22"/>
  <c r="AJ62" i="22"/>
  <c r="BL62" i="22"/>
  <c r="B63" i="22"/>
  <c r="BF68" i="10"/>
  <c r="D69" i="10" s="1"/>
  <c r="U69" i="10" s="1"/>
  <c r="BI68" i="10"/>
  <c r="G69" i="10" s="1"/>
  <c r="X69" i="10" s="1"/>
  <c r="BJ68" i="10"/>
  <c r="H69" i="10" s="1"/>
  <c r="Y69" i="10" s="1"/>
  <c r="I67" i="10"/>
  <c r="J67" i="10" s="1"/>
  <c r="K67" i="10" s="1"/>
  <c r="L67" i="10" s="1"/>
  <c r="B58" i="26"/>
  <c r="S58" i="26" s="1"/>
  <c r="BL57" i="26"/>
  <c r="AQ57" i="26"/>
  <c r="AP57" i="23"/>
  <c r="AO57" i="23"/>
  <c r="BI57" i="23"/>
  <c r="G58" i="23" s="1"/>
  <c r="X58" i="23" s="1"/>
  <c r="BD57" i="23"/>
  <c r="BG57" i="23"/>
  <c r="E58" i="23" s="1"/>
  <c r="V58" i="23" s="1"/>
  <c r="BJ57" i="23"/>
  <c r="H58" i="23" s="1"/>
  <c r="Y58" i="23" s="1"/>
  <c r="BF57" i="23"/>
  <c r="D58" i="23" s="1"/>
  <c r="U58" i="23" s="1"/>
  <c r="BD67" i="10"/>
  <c r="B68" i="10" s="1"/>
  <c r="BG67" i="10"/>
  <c r="E68" i="10" s="1"/>
  <c r="V68" i="10" s="1"/>
  <c r="AD57" i="20"/>
  <c r="BK57" i="20"/>
  <c r="BA57" i="20"/>
  <c r="AA57" i="20"/>
  <c r="AB57" i="20" s="1"/>
  <c r="AC57" i="20" s="1"/>
  <c r="AZ57" i="20"/>
  <c r="AK57" i="20"/>
  <c r="AW57" i="20"/>
  <c r="AY57" i="20"/>
  <c r="AM57" i="20"/>
  <c r="AV57" i="20"/>
  <c r="AJ57" i="20"/>
  <c r="AN57" i="20"/>
  <c r="Z67" i="10"/>
  <c r="AH57" i="20"/>
  <c r="S63" i="22" l="1"/>
  <c r="I63" i="22"/>
  <c r="J63" i="22" s="1"/>
  <c r="K63" i="22" s="1"/>
  <c r="L63" i="22" s="1"/>
  <c r="AO62" i="22"/>
  <c r="AP62" i="22"/>
  <c r="AD67" i="10"/>
  <c r="BG68" i="10"/>
  <c r="E69" i="10" s="1"/>
  <c r="V69" i="10" s="1"/>
  <c r="BI69" i="10"/>
  <c r="I68" i="10"/>
  <c r="J68" i="10" s="1"/>
  <c r="K68" i="10" s="1"/>
  <c r="L68" i="10" s="1"/>
  <c r="S68" i="10"/>
  <c r="BJ69" i="10"/>
  <c r="BF69" i="10"/>
  <c r="AQ57" i="23"/>
  <c r="I58" i="26"/>
  <c r="J58" i="26" s="1"/>
  <c r="K58" i="26" s="1"/>
  <c r="L58" i="26" s="1"/>
  <c r="B58" i="23"/>
  <c r="BL57" i="23"/>
  <c r="BK67" i="10"/>
  <c r="BA67" i="10"/>
  <c r="AY67" i="10"/>
  <c r="AM67" i="10"/>
  <c r="AZ67" i="10"/>
  <c r="AN67" i="10"/>
  <c r="AJ67" i="10"/>
  <c r="AV67" i="10"/>
  <c r="AT67" i="10"/>
  <c r="AK67" i="10"/>
  <c r="BG57" i="20"/>
  <c r="E58" i="20" s="1"/>
  <c r="V58" i="20" s="1"/>
  <c r="BF57" i="20"/>
  <c r="D58" i="20" s="1"/>
  <c r="U58" i="20" s="1"/>
  <c r="BD57" i="20"/>
  <c r="BJ57" i="20"/>
  <c r="H58" i="20" s="1"/>
  <c r="Y58" i="20" s="1"/>
  <c r="BI57" i="20"/>
  <c r="G58" i="20" s="1"/>
  <c r="X58" i="20" s="1"/>
  <c r="AH67" i="10"/>
  <c r="AA67" i="10"/>
  <c r="AB67" i="10" s="1"/>
  <c r="AC67" i="10" s="1"/>
  <c r="AW67" i="10"/>
  <c r="AO57" i="20"/>
  <c r="AP57" i="20"/>
  <c r="BL67" i="10"/>
  <c r="AQ62" i="22" l="1"/>
  <c r="Z63" i="22"/>
  <c r="AT63" i="22" s="1"/>
  <c r="Z68" i="10"/>
  <c r="AT68" i="10" s="1"/>
  <c r="BD68" i="10"/>
  <c r="B69" i="10" s="1"/>
  <c r="BG69" i="10"/>
  <c r="Z58" i="26"/>
  <c r="I58" i="23"/>
  <c r="J58" i="23" s="1"/>
  <c r="K58" i="23" s="1"/>
  <c r="L58" i="23" s="1"/>
  <c r="S58" i="23"/>
  <c r="H70" i="10"/>
  <c r="Y70" i="10"/>
  <c r="G70" i="10"/>
  <c r="X70" i="10"/>
  <c r="AQ57" i="20"/>
  <c r="AP67" i="10"/>
  <c r="AO67" i="10"/>
  <c r="B58" i="20"/>
  <c r="BL57" i="20"/>
  <c r="AH63" i="22" l="1"/>
  <c r="AA63" i="22"/>
  <c r="AB63" i="22" s="1"/>
  <c r="AC63" i="22" s="1"/>
  <c r="AD63" i="22"/>
  <c r="AY63" i="22"/>
  <c r="AM63" i="22"/>
  <c r="AV63" i="22"/>
  <c r="AJ63" i="22"/>
  <c r="AZ63" i="22"/>
  <c r="BA63" i="22"/>
  <c r="AN63" i="22"/>
  <c r="BK63" i="22"/>
  <c r="AK63" i="22"/>
  <c r="AW63" i="22"/>
  <c r="AH68" i="10"/>
  <c r="I69" i="10"/>
  <c r="J69" i="10" s="1"/>
  <c r="K69" i="10" s="1"/>
  <c r="L69" i="10" s="1"/>
  <c r="S69" i="10"/>
  <c r="BL68" i="10"/>
  <c r="BK68" i="10"/>
  <c r="BA68" i="10"/>
  <c r="AD68" i="10"/>
  <c r="AA68" i="10"/>
  <c r="AB68" i="10" s="1"/>
  <c r="AC68" i="10" s="1"/>
  <c r="AY68" i="10"/>
  <c r="AZ68" i="10"/>
  <c r="AJ68" i="10"/>
  <c r="AM68" i="10"/>
  <c r="AV68" i="10"/>
  <c r="AN68" i="10"/>
  <c r="AW68" i="10"/>
  <c r="AK68" i="10"/>
  <c r="BK58" i="26"/>
  <c r="BA58" i="26"/>
  <c r="AD58" i="26"/>
  <c r="AA58" i="26"/>
  <c r="AB58" i="26" s="1"/>
  <c r="AC58" i="26" s="1"/>
  <c r="AJ58" i="26"/>
  <c r="AV58" i="26"/>
  <c r="AM58" i="26"/>
  <c r="AW58" i="26"/>
  <c r="AZ58" i="26"/>
  <c r="AK58" i="26"/>
  <c r="AN58" i="26"/>
  <c r="AY58" i="26"/>
  <c r="AT58" i="26"/>
  <c r="AH58" i="26"/>
  <c r="Z58" i="23"/>
  <c r="AH58" i="23" s="1"/>
  <c r="D70" i="10"/>
  <c r="U70" i="10"/>
  <c r="E70" i="10"/>
  <c r="V70" i="10"/>
  <c r="AQ67" i="10"/>
  <c r="I58" i="20"/>
  <c r="J58" i="20" s="1"/>
  <c r="K58" i="20" s="1"/>
  <c r="L58" i="20" s="1"/>
  <c r="S58" i="20"/>
  <c r="C41" i="19"/>
  <c r="H41" i="19"/>
  <c r="F41" i="19"/>
  <c r="AT40" i="19"/>
  <c r="AU40" i="19" s="1"/>
  <c r="B41" i="19"/>
  <c r="BG63" i="22" l="1"/>
  <c r="E64" i="22" s="1"/>
  <c r="V64" i="22" s="1"/>
  <c r="BJ63" i="22"/>
  <c r="H64" i="22" s="1"/>
  <c r="Y64" i="22" s="1"/>
  <c r="BF63" i="22"/>
  <c r="D64" i="22" s="1"/>
  <c r="U64" i="22" s="1"/>
  <c r="BD63" i="22"/>
  <c r="BI63" i="22"/>
  <c r="G64" i="22" s="1"/>
  <c r="X64" i="22" s="1"/>
  <c r="AO63" i="22"/>
  <c r="AP63" i="22"/>
  <c r="AT58" i="23"/>
  <c r="AO68" i="10"/>
  <c r="Z69" i="10"/>
  <c r="AH69" i="10" s="1"/>
  <c r="BD69" i="10"/>
  <c r="AP68" i="10"/>
  <c r="AO58" i="26"/>
  <c r="AP58" i="26"/>
  <c r="BF58" i="26"/>
  <c r="D59" i="26" s="1"/>
  <c r="BJ58" i="26"/>
  <c r="H59" i="26" s="1"/>
  <c r="Y59" i="26" s="1"/>
  <c r="BI58" i="26"/>
  <c r="G59" i="26" s="1"/>
  <c r="BG58" i="26"/>
  <c r="E59" i="26" s="1"/>
  <c r="BD58" i="26"/>
  <c r="BA58" i="23"/>
  <c r="AD58" i="23"/>
  <c r="BK58" i="23"/>
  <c r="AA58" i="23"/>
  <c r="AB58" i="23" s="1"/>
  <c r="AC58" i="23" s="1"/>
  <c r="AN58" i="23"/>
  <c r="AW58" i="23"/>
  <c r="AZ58" i="23"/>
  <c r="AK58" i="23"/>
  <c r="AJ58" i="23"/>
  <c r="AY58" i="23"/>
  <c r="AM58" i="23"/>
  <c r="AV58" i="23"/>
  <c r="Z58" i="20"/>
  <c r="AH58" i="20" s="1"/>
  <c r="I41" i="19"/>
  <c r="BL63" i="22" l="1"/>
  <c r="B64" i="22"/>
  <c r="U65" i="22"/>
  <c r="BF64" i="22"/>
  <c r="D65" i="22" s="1"/>
  <c r="AQ63" i="22"/>
  <c r="Y65" i="22"/>
  <c r="BJ64" i="22"/>
  <c r="H65" i="22" s="1"/>
  <c r="BI64" i="22"/>
  <c r="G65" i="22" s="1"/>
  <c r="X65" i="22"/>
  <c r="BG64" i="22"/>
  <c r="E65" i="22" s="1"/>
  <c r="V65" i="22"/>
  <c r="AQ68" i="10"/>
  <c r="AT58" i="20"/>
  <c r="AT69" i="10"/>
  <c r="AD69" i="10"/>
  <c r="BK69" i="10"/>
  <c r="BL69" i="10"/>
  <c r="AA69" i="10"/>
  <c r="AB69" i="10" s="1"/>
  <c r="AC69" i="10" s="1"/>
  <c r="BA69" i="10"/>
  <c r="AM69" i="10"/>
  <c r="AV69" i="10"/>
  <c r="AY69" i="10"/>
  <c r="AZ69" i="10"/>
  <c r="AJ69" i="10"/>
  <c r="AN69" i="10"/>
  <c r="AK69" i="10"/>
  <c r="AW69" i="10"/>
  <c r="AQ58" i="26"/>
  <c r="B59" i="26"/>
  <c r="S59" i="26" s="1"/>
  <c r="BL58" i="26"/>
  <c r="AP58" i="23"/>
  <c r="BJ58" i="23"/>
  <c r="H59" i="23" s="1"/>
  <c r="Y59" i="23" s="1"/>
  <c r="BI58" i="23"/>
  <c r="G59" i="23" s="1"/>
  <c r="X59" i="23" s="1"/>
  <c r="BG58" i="23"/>
  <c r="E59" i="23" s="1"/>
  <c r="V59" i="23" s="1"/>
  <c r="BD58" i="23"/>
  <c r="BF58" i="23"/>
  <c r="D59" i="23" s="1"/>
  <c r="U59" i="23" s="1"/>
  <c r="AO58" i="23"/>
  <c r="S70" i="10"/>
  <c r="Z70" i="10" s="1"/>
  <c r="I71" i="10" s="1"/>
  <c r="I80" i="10"/>
  <c r="AA58" i="20"/>
  <c r="AB58" i="20" s="1"/>
  <c r="AC58" i="20" s="1"/>
  <c r="BA58" i="20"/>
  <c r="AD58" i="20"/>
  <c r="BK58" i="20"/>
  <c r="AV58" i="20"/>
  <c r="AN58" i="20"/>
  <c r="AW58" i="20"/>
  <c r="AJ58" i="20"/>
  <c r="AK58" i="20"/>
  <c r="AZ58" i="20"/>
  <c r="AM58" i="20"/>
  <c r="AY58" i="20"/>
  <c r="T41" i="19"/>
  <c r="AS41" i="19"/>
  <c r="AQ41" i="19"/>
  <c r="AM41" i="19"/>
  <c r="AN41" i="19"/>
  <c r="AD41" i="19"/>
  <c r="P41" i="19"/>
  <c r="AC41" i="19"/>
  <c r="AG41" i="19"/>
  <c r="AJ41" i="19"/>
  <c r="V41" i="19"/>
  <c r="J41" i="19"/>
  <c r="AI41" i="19"/>
  <c r="Q41" i="19"/>
  <c r="I64" i="22" l="1"/>
  <c r="S64" i="22"/>
  <c r="AT41" i="19"/>
  <c r="AU41" i="19" s="1"/>
  <c r="AP69" i="10"/>
  <c r="AO69" i="10"/>
  <c r="AQ58" i="23"/>
  <c r="I59" i="26"/>
  <c r="J59" i="26" s="1"/>
  <c r="K59" i="26" s="1"/>
  <c r="L59" i="26" s="1"/>
  <c r="B59" i="23"/>
  <c r="BL58" i="23"/>
  <c r="I73" i="10"/>
  <c r="B70" i="10"/>
  <c r="I70" i="10" s="1"/>
  <c r="BI58" i="20"/>
  <c r="G59" i="20" s="1"/>
  <c r="X59" i="20" s="1"/>
  <c r="BF58" i="20"/>
  <c r="D59" i="20" s="1"/>
  <c r="U59" i="20" s="1"/>
  <c r="BG58" i="20"/>
  <c r="E59" i="20" s="1"/>
  <c r="V59" i="20" s="1"/>
  <c r="BD58" i="20"/>
  <c r="BJ58" i="20"/>
  <c r="H59" i="20" s="1"/>
  <c r="Y59" i="20" s="1"/>
  <c r="AP58" i="20"/>
  <c r="AO58" i="20"/>
  <c r="B42" i="19"/>
  <c r="H42" i="19"/>
  <c r="C42" i="19"/>
  <c r="F42" i="19"/>
  <c r="X41" i="19"/>
  <c r="K41" i="19"/>
  <c r="L41" i="19" s="1"/>
  <c r="W41" i="19"/>
  <c r="S65" i="22" l="1"/>
  <c r="Z65" i="22" s="1"/>
  <c r="I66" i="22" s="1"/>
  <c r="BD64" i="22"/>
  <c r="Z64" i="22"/>
  <c r="AT64" i="22" s="1"/>
  <c r="J64" i="22"/>
  <c r="K64" i="22" s="1"/>
  <c r="L64" i="22" s="1"/>
  <c r="I75" i="22"/>
  <c r="AQ69" i="10"/>
  <c r="Z59" i="26"/>
  <c r="AH59" i="26" s="1"/>
  <c r="S59" i="23"/>
  <c r="I59" i="23"/>
  <c r="J59" i="23" s="1"/>
  <c r="K59" i="23" s="1"/>
  <c r="L59" i="23" s="1"/>
  <c r="I77" i="10"/>
  <c r="I72" i="10"/>
  <c r="I78" i="10"/>
  <c r="O24" i="8"/>
  <c r="H24" i="8"/>
  <c r="F24" i="8"/>
  <c r="B30" i="8"/>
  <c r="H22" i="8"/>
  <c r="F22" i="8"/>
  <c r="AQ58" i="20"/>
  <c r="B59" i="20"/>
  <c r="BL58" i="20"/>
  <c r="I42" i="19"/>
  <c r="Y41" i="19"/>
  <c r="BA64" i="22" l="1"/>
  <c r="AW64" i="22"/>
  <c r="AK64" i="22"/>
  <c r="BK64" i="22"/>
  <c r="AN64" i="22"/>
  <c r="AZ64" i="22"/>
  <c r="AA64" i="22"/>
  <c r="AV64" i="22"/>
  <c r="AJ64" i="22"/>
  <c r="AM64" i="22"/>
  <c r="AY64" i="22"/>
  <c r="AD64" i="22"/>
  <c r="B65" i="22"/>
  <c r="BL64" i="22"/>
  <c r="AH64" i="22"/>
  <c r="I68" i="22"/>
  <c r="BA59" i="26"/>
  <c r="AD59" i="26"/>
  <c r="BK59" i="26"/>
  <c r="AA59" i="26"/>
  <c r="AB59" i="26" s="1"/>
  <c r="AC59" i="26" s="1"/>
  <c r="AW59" i="26"/>
  <c r="AM59" i="26"/>
  <c r="AN59" i="26"/>
  <c r="AV59" i="26"/>
  <c r="AK59" i="26"/>
  <c r="AZ59" i="26"/>
  <c r="AY59" i="26"/>
  <c r="AJ59" i="26"/>
  <c r="AT59" i="26"/>
  <c r="Z59" i="23"/>
  <c r="AT59" i="23" s="1"/>
  <c r="H23" i="8"/>
  <c r="O23" i="8"/>
  <c r="F23" i="8"/>
  <c r="F21" i="8"/>
  <c r="H21" i="8"/>
  <c r="J21" i="8"/>
  <c r="P42" i="19"/>
  <c r="I59" i="20"/>
  <c r="J59" i="20" s="1"/>
  <c r="K59" i="20" s="1"/>
  <c r="L59" i="20" s="1"/>
  <c r="S59" i="20"/>
  <c r="AC42" i="19"/>
  <c r="AD42" i="19"/>
  <c r="AN42" i="19"/>
  <c r="AM42" i="19"/>
  <c r="AQ42" i="19"/>
  <c r="AS42" i="19"/>
  <c r="AJ42" i="19"/>
  <c r="J42" i="19"/>
  <c r="K42" i="19" s="1"/>
  <c r="L42" i="19" s="1"/>
  <c r="V42" i="19"/>
  <c r="T42" i="19"/>
  <c r="AI42" i="19"/>
  <c r="Q42" i="19"/>
  <c r="AG42" i="19"/>
  <c r="AP64" i="22" l="1"/>
  <c r="AO64" i="22"/>
  <c r="AB64" i="22"/>
  <c r="AC64" i="22" s="1"/>
  <c r="I67" i="22" s="1"/>
  <c r="I73" i="22"/>
  <c r="I65" i="22"/>
  <c r="I76" i="22" s="1"/>
  <c r="W42" i="19"/>
  <c r="AT42" i="19"/>
  <c r="AU42" i="19" s="1"/>
  <c r="AP59" i="26"/>
  <c r="BG59" i="26"/>
  <c r="E60" i="26" s="1"/>
  <c r="BJ59" i="26"/>
  <c r="H60" i="26" s="1"/>
  <c r="Y60" i="26" s="1"/>
  <c r="BD59" i="26"/>
  <c r="BF59" i="26"/>
  <c r="D60" i="26" s="1"/>
  <c r="BI59" i="26"/>
  <c r="G60" i="26" s="1"/>
  <c r="AO59" i="26"/>
  <c r="BK59" i="23"/>
  <c r="AD59" i="23"/>
  <c r="AA59" i="23"/>
  <c r="AB59" i="23" s="1"/>
  <c r="AC59" i="23" s="1"/>
  <c r="BA59" i="23"/>
  <c r="AZ59" i="23"/>
  <c r="AN59" i="23"/>
  <c r="AM59" i="23"/>
  <c r="AK59" i="23"/>
  <c r="AW59" i="23"/>
  <c r="AY59" i="23"/>
  <c r="AV59" i="23"/>
  <c r="AJ59" i="23"/>
  <c r="AH59" i="23"/>
  <c r="Z59" i="20"/>
  <c r="H43" i="19"/>
  <c r="F43" i="19"/>
  <c r="X42" i="19"/>
  <c r="Y42" i="19" s="1"/>
  <c r="C43" i="19"/>
  <c r="B43" i="19"/>
  <c r="AQ64" i="22" l="1"/>
  <c r="I72" i="22"/>
  <c r="I77" i="22"/>
  <c r="I78" i="22" s="1"/>
  <c r="AQ59" i="26"/>
  <c r="B60" i="26"/>
  <c r="S60" i="26" s="1"/>
  <c r="BL59" i="26"/>
  <c r="AO59" i="23"/>
  <c r="AP59" i="23"/>
  <c r="BD59" i="23"/>
  <c r="BG59" i="23"/>
  <c r="E60" i="23" s="1"/>
  <c r="V60" i="23" s="1"/>
  <c r="BF59" i="23"/>
  <c r="D60" i="23" s="1"/>
  <c r="U60" i="23" s="1"/>
  <c r="BJ59" i="23"/>
  <c r="H60" i="23" s="1"/>
  <c r="Y60" i="23" s="1"/>
  <c r="BI59" i="23"/>
  <c r="G60" i="23" s="1"/>
  <c r="X60" i="23" s="1"/>
  <c r="AH59" i="20"/>
  <c r="AA59" i="20"/>
  <c r="AB59" i="20" s="1"/>
  <c r="AC59" i="20" s="1"/>
  <c r="BK59" i="20"/>
  <c r="AD59" i="20"/>
  <c r="BA59" i="20"/>
  <c r="AK59" i="20"/>
  <c r="AM59" i="20"/>
  <c r="AZ59" i="20"/>
  <c r="AW59" i="20"/>
  <c r="AY59" i="20"/>
  <c r="AN59" i="20"/>
  <c r="AV59" i="20"/>
  <c r="AJ59" i="20"/>
  <c r="AT59" i="20"/>
  <c r="I43" i="19"/>
  <c r="P43" i="19" s="1"/>
  <c r="I60" i="26" l="1"/>
  <c r="J60" i="26" s="1"/>
  <c r="B60" i="23"/>
  <c r="BL59" i="23"/>
  <c r="AQ59" i="23"/>
  <c r="AP59" i="20"/>
  <c r="BD59" i="20"/>
  <c r="BJ59" i="20"/>
  <c r="H60" i="20" s="1"/>
  <c r="Y60" i="20" s="1"/>
  <c r="BG59" i="20"/>
  <c r="E60" i="20" s="1"/>
  <c r="V60" i="20" s="1"/>
  <c r="BF59" i="20"/>
  <c r="D60" i="20" s="1"/>
  <c r="U60" i="20" s="1"/>
  <c r="BI59" i="20"/>
  <c r="G60" i="20" s="1"/>
  <c r="X60" i="20" s="1"/>
  <c r="AO59" i="20"/>
  <c r="V43" i="19"/>
  <c r="AS43" i="19"/>
  <c r="AQ43" i="19"/>
  <c r="AM43" i="19"/>
  <c r="AT43" i="19" s="1"/>
  <c r="AU43" i="19" s="1"/>
  <c r="AN43" i="19"/>
  <c r="AJ43" i="19"/>
  <c r="J43" i="19"/>
  <c r="K43" i="19" s="1"/>
  <c r="L43" i="19" s="1"/>
  <c r="Q43" i="19"/>
  <c r="AI43" i="19"/>
  <c r="AG43" i="19"/>
  <c r="T43" i="19"/>
  <c r="AC43" i="19"/>
  <c r="AD43" i="19"/>
  <c r="Z60" i="26" l="1"/>
  <c r="AT60" i="26" s="1"/>
  <c r="I69" i="26"/>
  <c r="K60" i="26"/>
  <c r="I60" i="23"/>
  <c r="J60" i="23" s="1"/>
  <c r="S60" i="23"/>
  <c r="AQ59" i="20"/>
  <c r="B60" i="20"/>
  <c r="BL59" i="20"/>
  <c r="X43" i="19"/>
  <c r="C44" i="19"/>
  <c r="B44" i="19"/>
  <c r="W43" i="19"/>
  <c r="H44" i="19"/>
  <c r="I70" i="26" l="1"/>
  <c r="L60" i="26"/>
  <c r="AA60" i="26"/>
  <c r="AB60" i="26" s="1"/>
  <c r="AC60" i="26" s="1"/>
  <c r="BA60" i="26"/>
  <c r="AD60" i="26"/>
  <c r="BK60" i="26"/>
  <c r="AJ60" i="26"/>
  <c r="AW60" i="26"/>
  <c r="AZ60" i="26"/>
  <c r="AV60" i="26"/>
  <c r="AM60" i="26"/>
  <c r="AK60" i="26"/>
  <c r="AN60" i="26"/>
  <c r="AY60" i="26"/>
  <c r="AH60" i="26"/>
  <c r="Z60" i="23"/>
  <c r="K60" i="23"/>
  <c r="I69" i="23"/>
  <c r="Y43" i="19"/>
  <c r="I60" i="20"/>
  <c r="J60" i="20" s="1"/>
  <c r="S60" i="20"/>
  <c r="I44" i="19"/>
  <c r="P44" i="19" s="1"/>
  <c r="AP60" i="26" l="1"/>
  <c r="AO60" i="26"/>
  <c r="BI60" i="26"/>
  <c r="G61" i="26" s="1"/>
  <c r="BG60" i="26"/>
  <c r="E61" i="26" s="1"/>
  <c r="BF60" i="26"/>
  <c r="D61" i="26" s="1"/>
  <c r="BD60" i="26"/>
  <c r="BJ60" i="26"/>
  <c r="H61" i="26" s="1"/>
  <c r="Y61" i="26" s="1"/>
  <c r="L60" i="23"/>
  <c r="I70" i="23"/>
  <c r="BA60" i="23"/>
  <c r="AD60" i="23"/>
  <c r="AA60" i="23"/>
  <c r="AB60" i="23" s="1"/>
  <c r="AC60" i="23" s="1"/>
  <c r="BK60" i="23"/>
  <c r="AM60" i="23"/>
  <c r="AJ60" i="23"/>
  <c r="AY60" i="23"/>
  <c r="AV60" i="23"/>
  <c r="AN60" i="23"/>
  <c r="AK60" i="23"/>
  <c r="AW60" i="23"/>
  <c r="AZ60" i="23"/>
  <c r="AH60" i="23"/>
  <c r="AT60" i="23"/>
  <c r="AG44" i="19"/>
  <c r="AI44" i="19"/>
  <c r="V44" i="19"/>
  <c r="K60" i="20"/>
  <c r="I74" i="20"/>
  <c r="I25" i="8" s="1"/>
  <c r="Z60" i="20"/>
  <c r="AT60" i="20" s="1"/>
  <c r="Q44" i="19"/>
  <c r="AD44" i="19"/>
  <c r="AC44" i="19"/>
  <c r="AN44" i="19"/>
  <c r="AM44" i="19"/>
  <c r="AS44" i="19"/>
  <c r="AJ44" i="19"/>
  <c r="J44" i="19"/>
  <c r="K44" i="19" s="1"/>
  <c r="L44" i="19" s="1"/>
  <c r="T44" i="19"/>
  <c r="AT44" i="19" l="1"/>
  <c r="AU44" i="19" s="1"/>
  <c r="AQ60" i="26"/>
  <c r="B61" i="26"/>
  <c r="S61" i="26" s="1"/>
  <c r="BL60" i="26"/>
  <c r="BF60" i="23"/>
  <c r="D61" i="23" s="1"/>
  <c r="U61" i="23" s="1"/>
  <c r="BD60" i="23"/>
  <c r="BJ60" i="23"/>
  <c r="H61" i="23" s="1"/>
  <c r="Y61" i="23" s="1"/>
  <c r="BG60" i="23"/>
  <c r="E61" i="23" s="1"/>
  <c r="V61" i="23" s="1"/>
  <c r="BI60" i="23"/>
  <c r="G61" i="23" s="1"/>
  <c r="X61" i="23" s="1"/>
  <c r="AP60" i="23"/>
  <c r="AO60" i="23"/>
  <c r="AH60" i="20"/>
  <c r="AA60" i="20"/>
  <c r="AB60" i="20" s="1"/>
  <c r="AC60" i="20" s="1"/>
  <c r="BA60" i="20"/>
  <c r="AD60" i="20"/>
  <c r="BK60" i="20"/>
  <c r="AY60" i="20"/>
  <c r="AK60" i="20"/>
  <c r="AM60" i="20"/>
  <c r="AV60" i="20"/>
  <c r="AZ60" i="20"/>
  <c r="AW60" i="20"/>
  <c r="AJ60" i="20"/>
  <c r="AN60" i="20"/>
  <c r="W44" i="19"/>
  <c r="I75" i="20"/>
  <c r="I26" i="8" s="1"/>
  <c r="L60" i="20"/>
  <c r="H45" i="19"/>
  <c r="B45" i="19"/>
  <c r="X44" i="19"/>
  <c r="C45" i="19"/>
  <c r="AQ60" i="23" l="1"/>
  <c r="I61" i="26"/>
  <c r="J61" i="26" s="1"/>
  <c r="K61" i="26" s="1"/>
  <c r="L61" i="26" s="1"/>
  <c r="B61" i="23"/>
  <c r="BL60" i="23"/>
  <c r="AP60" i="20"/>
  <c r="AO60" i="20"/>
  <c r="BD60" i="20"/>
  <c r="BJ60" i="20"/>
  <c r="H61" i="20" s="1"/>
  <c r="Y61" i="20" s="1"/>
  <c r="BF60" i="20"/>
  <c r="D61" i="20" s="1"/>
  <c r="U61" i="20" s="1"/>
  <c r="BI60" i="20"/>
  <c r="G61" i="20" s="1"/>
  <c r="X61" i="20" s="1"/>
  <c r="BG60" i="20"/>
  <c r="E61" i="20" s="1"/>
  <c r="V61" i="20" s="1"/>
  <c r="Y44" i="19"/>
  <c r="I45" i="19"/>
  <c r="AR45" i="19" s="1"/>
  <c r="AC45" i="19" l="1"/>
  <c r="G46" i="19"/>
  <c r="Z61" i="26"/>
  <c r="I61" i="23"/>
  <c r="J61" i="23" s="1"/>
  <c r="K61" i="23" s="1"/>
  <c r="L61" i="23" s="1"/>
  <c r="S61" i="23"/>
  <c r="Q45" i="19"/>
  <c r="V45" i="19"/>
  <c r="AD45" i="19"/>
  <c r="AQ60" i="20"/>
  <c r="B61" i="20"/>
  <c r="BL60" i="20"/>
  <c r="P45" i="19"/>
  <c r="AS45" i="19"/>
  <c r="AM45" i="19"/>
  <c r="AN45" i="19"/>
  <c r="AJ45" i="19"/>
  <c r="J45" i="19"/>
  <c r="K45" i="19" s="1"/>
  <c r="L45" i="19" s="1"/>
  <c r="T45" i="19"/>
  <c r="AG45" i="19"/>
  <c r="AI45" i="19"/>
  <c r="E46" i="19" l="1"/>
  <c r="D46" i="19"/>
  <c r="AT45" i="19"/>
  <c r="AU45" i="19" s="1"/>
  <c r="AA61" i="26"/>
  <c r="AB61" i="26" s="1"/>
  <c r="AC61" i="26" s="1"/>
  <c r="BA61" i="26"/>
  <c r="AD61" i="26"/>
  <c r="BK61" i="26"/>
  <c r="AW61" i="26"/>
  <c r="AK61" i="26"/>
  <c r="AZ61" i="26"/>
  <c r="AY61" i="26"/>
  <c r="AN61" i="26"/>
  <c r="AJ61" i="26"/>
  <c r="AM61" i="26"/>
  <c r="AV61" i="26"/>
  <c r="AH61" i="26"/>
  <c r="AT61" i="26"/>
  <c r="Z61" i="23"/>
  <c r="AH61" i="23" s="1"/>
  <c r="S61" i="20"/>
  <c r="I61" i="20"/>
  <c r="J61" i="20" s="1"/>
  <c r="K61" i="20" s="1"/>
  <c r="L61" i="20" s="1"/>
  <c r="B46" i="19"/>
  <c r="H46" i="19"/>
  <c r="W45" i="19"/>
  <c r="X45" i="19"/>
  <c r="AT61" i="23" l="1"/>
  <c r="AP61" i="26"/>
  <c r="AO61" i="26"/>
  <c r="BJ61" i="26"/>
  <c r="H62" i="26" s="1"/>
  <c r="Y62" i="26" s="1"/>
  <c r="BD61" i="26"/>
  <c r="BI61" i="26"/>
  <c r="G62" i="26" s="1"/>
  <c r="BG61" i="26"/>
  <c r="E62" i="26" s="1"/>
  <c r="BF61" i="26"/>
  <c r="D62" i="26" s="1"/>
  <c r="AA61" i="23"/>
  <c r="AB61" i="23" s="1"/>
  <c r="AC61" i="23" s="1"/>
  <c r="BK61" i="23"/>
  <c r="AD61" i="23"/>
  <c r="BA61" i="23"/>
  <c r="AN61" i="23"/>
  <c r="AV61" i="23"/>
  <c r="AJ61" i="23"/>
  <c r="AK61" i="23"/>
  <c r="AY61" i="23"/>
  <c r="AM61" i="23"/>
  <c r="AZ61" i="23"/>
  <c r="AW61" i="23"/>
  <c r="Z61" i="20"/>
  <c r="AT61" i="20" s="1"/>
  <c r="I46" i="19"/>
  <c r="Y45" i="19"/>
  <c r="AR46" i="19" l="1"/>
  <c r="G47" i="19" s="1"/>
  <c r="AP46" i="19"/>
  <c r="E47" i="19" s="1"/>
  <c r="AO46" i="19"/>
  <c r="D47" i="19" s="1"/>
  <c r="T46" i="19"/>
  <c r="P46" i="19"/>
  <c r="AQ61" i="26"/>
  <c r="B62" i="26"/>
  <c r="S62" i="26" s="1"/>
  <c r="BL61" i="26"/>
  <c r="AP61" i="23"/>
  <c r="BG61" i="23"/>
  <c r="E62" i="23" s="1"/>
  <c r="V62" i="23" s="1"/>
  <c r="BF61" i="23"/>
  <c r="D62" i="23" s="1"/>
  <c r="U62" i="23" s="1"/>
  <c r="BJ61" i="23"/>
  <c r="H62" i="23" s="1"/>
  <c r="Y62" i="23" s="1"/>
  <c r="BI61" i="23"/>
  <c r="G62" i="23" s="1"/>
  <c r="X62" i="23" s="1"/>
  <c r="BD61" i="23"/>
  <c r="AO61" i="23"/>
  <c r="AH61" i="20"/>
  <c r="AD61" i="20"/>
  <c r="AA61" i="20"/>
  <c r="AB61" i="20" s="1"/>
  <c r="AC61" i="20" s="1"/>
  <c r="BK61" i="20"/>
  <c r="BA61" i="20"/>
  <c r="AK61" i="20"/>
  <c r="AZ61" i="20"/>
  <c r="AJ61" i="20"/>
  <c r="AY61" i="20"/>
  <c r="AW61" i="20"/>
  <c r="AN61" i="20"/>
  <c r="AM61" i="20"/>
  <c r="AV61" i="20"/>
  <c r="AC46" i="19"/>
  <c r="AD46" i="19"/>
  <c r="AI46" i="19"/>
  <c r="AM46" i="19"/>
  <c r="AS46" i="19"/>
  <c r="AJ46" i="19"/>
  <c r="J46" i="19"/>
  <c r="K46" i="19" s="1"/>
  <c r="L46" i="19" s="1"/>
  <c r="Q46" i="19"/>
  <c r="V46" i="19"/>
  <c r="AG46" i="19"/>
  <c r="AT46" i="19" l="1"/>
  <c r="AU46" i="19" s="1"/>
  <c r="X46" i="19"/>
  <c r="I62" i="26"/>
  <c r="J62" i="26" s="1"/>
  <c r="K62" i="26" s="1"/>
  <c r="L62" i="26" s="1"/>
  <c r="AQ61" i="23"/>
  <c r="B62" i="23"/>
  <c r="BL61" i="23"/>
  <c r="AP61" i="20"/>
  <c r="BI61" i="20"/>
  <c r="G62" i="20" s="1"/>
  <c r="X62" i="20" s="1"/>
  <c r="BJ61" i="20"/>
  <c r="H62" i="20" s="1"/>
  <c r="Y62" i="20" s="1"/>
  <c r="BD61" i="20"/>
  <c r="BF61" i="20"/>
  <c r="D62" i="20" s="1"/>
  <c r="U62" i="20" s="1"/>
  <c r="BG61" i="20"/>
  <c r="E62" i="20" s="1"/>
  <c r="V62" i="20" s="1"/>
  <c r="AO61" i="20"/>
  <c r="B47" i="19"/>
  <c r="W46" i="19"/>
  <c r="H47" i="19"/>
  <c r="Y46" i="19" l="1"/>
  <c r="AQ61" i="20"/>
  <c r="Z62" i="26"/>
  <c r="AT62" i="26" s="1"/>
  <c r="S62" i="23"/>
  <c r="I62" i="23"/>
  <c r="J62" i="23" s="1"/>
  <c r="K62" i="23" s="1"/>
  <c r="L62" i="23" s="1"/>
  <c r="B62" i="20"/>
  <c r="BL61" i="20"/>
  <c r="I47" i="19"/>
  <c r="AP47" i="19" l="1"/>
  <c r="AO47" i="19"/>
  <c r="D48" i="19" s="1"/>
  <c r="E48" i="19"/>
  <c r="AH47" i="19"/>
  <c r="U47" i="19"/>
  <c r="V47" i="19"/>
  <c r="AR47" i="19"/>
  <c r="G48" i="19" s="1"/>
  <c r="Q47" i="19"/>
  <c r="P47" i="19"/>
  <c r="AD47" i="19"/>
  <c r="AH62" i="26"/>
  <c r="BK62" i="26"/>
  <c r="AA62" i="26"/>
  <c r="AB62" i="26" s="1"/>
  <c r="AC62" i="26" s="1"/>
  <c r="BA62" i="26"/>
  <c r="AD62" i="26"/>
  <c r="AW62" i="26"/>
  <c r="AZ62" i="26"/>
  <c r="AV62" i="26"/>
  <c r="AK62" i="26"/>
  <c r="AN62" i="26"/>
  <c r="AY62" i="26"/>
  <c r="AJ62" i="26"/>
  <c r="AM62" i="26"/>
  <c r="Z62" i="23"/>
  <c r="AH62" i="23" s="1"/>
  <c r="I62" i="20"/>
  <c r="S62" i="20"/>
  <c r="AC47" i="19"/>
  <c r="AI47" i="19"/>
  <c r="AS47" i="19"/>
  <c r="AM47" i="19"/>
  <c r="AJ47" i="19"/>
  <c r="J47" i="19"/>
  <c r="K47" i="19" s="1"/>
  <c r="L47" i="19" s="1"/>
  <c r="X47" i="19" l="1"/>
  <c r="AT47" i="19"/>
  <c r="AU47" i="19" s="1"/>
  <c r="AT62" i="23"/>
  <c r="AO62" i="26"/>
  <c r="BF62" i="26"/>
  <c r="D63" i="26" s="1"/>
  <c r="BJ62" i="26"/>
  <c r="H63" i="26" s="1"/>
  <c r="Y63" i="26" s="1"/>
  <c r="BD62" i="26"/>
  <c r="BI62" i="26"/>
  <c r="G63" i="26" s="1"/>
  <c r="BG62" i="26"/>
  <c r="E63" i="26" s="1"/>
  <c r="AP62" i="26"/>
  <c r="AA62" i="23"/>
  <c r="AB62" i="23" s="1"/>
  <c r="AC62" i="23" s="1"/>
  <c r="AD62" i="23"/>
  <c r="BK62" i="23"/>
  <c r="BA62" i="23"/>
  <c r="AW62" i="23"/>
  <c r="AK62" i="23"/>
  <c r="AN62" i="23"/>
  <c r="AM62" i="23"/>
  <c r="AY62" i="23"/>
  <c r="AV62" i="23"/>
  <c r="AJ62" i="23"/>
  <c r="AZ62" i="23"/>
  <c r="Z62" i="20"/>
  <c r="AT62" i="20" s="1"/>
  <c r="J62" i="20"/>
  <c r="K62" i="20" s="1"/>
  <c r="L62" i="20" s="1"/>
  <c r="H48" i="19"/>
  <c r="B48" i="19"/>
  <c r="W47" i="19"/>
  <c r="Y47" i="19" l="1"/>
  <c r="AQ62" i="26"/>
  <c r="B63" i="26"/>
  <c r="S63" i="26" s="1"/>
  <c r="BL62" i="26"/>
  <c r="AP62" i="23"/>
  <c r="AO62" i="23"/>
  <c r="BI62" i="23"/>
  <c r="G63" i="23" s="1"/>
  <c r="X63" i="23" s="1"/>
  <c r="BG62" i="23"/>
  <c r="E63" i="23" s="1"/>
  <c r="V63" i="23" s="1"/>
  <c r="BD62" i="23"/>
  <c r="BF62" i="23"/>
  <c r="D63" i="23" s="1"/>
  <c r="U63" i="23" s="1"/>
  <c r="BJ62" i="23"/>
  <c r="H63" i="23" s="1"/>
  <c r="Y63" i="23" s="1"/>
  <c r="AH62" i="20"/>
  <c r="BA62" i="20"/>
  <c r="BK62" i="20"/>
  <c r="AD62" i="20"/>
  <c r="AA62" i="20"/>
  <c r="AB62" i="20" s="1"/>
  <c r="AC62" i="20" s="1"/>
  <c r="AM62" i="20"/>
  <c r="AK62" i="20"/>
  <c r="AV62" i="20"/>
  <c r="AJ62" i="20"/>
  <c r="AY62" i="20"/>
  <c r="AN62" i="20"/>
  <c r="AW62" i="20"/>
  <c r="AZ62" i="20"/>
  <c r="I48" i="19"/>
  <c r="AP48" i="19" l="1"/>
  <c r="AO48" i="19"/>
  <c r="D49" i="19"/>
  <c r="E49" i="19"/>
  <c r="U48" i="19"/>
  <c r="AH48" i="19"/>
  <c r="AI48" i="19"/>
  <c r="AR48" i="19"/>
  <c r="G49" i="19" s="1"/>
  <c r="AQ62" i="23"/>
  <c r="I63" i="26"/>
  <c r="J63" i="26" s="1"/>
  <c r="K63" i="26" s="1"/>
  <c r="L63" i="26" s="1"/>
  <c r="B63" i="23"/>
  <c r="BL62" i="23"/>
  <c r="AO62" i="20"/>
  <c r="AP62" i="20"/>
  <c r="BF62" i="20"/>
  <c r="D63" i="20" s="1"/>
  <c r="U63" i="20" s="1"/>
  <c r="BJ62" i="20"/>
  <c r="H63" i="20" s="1"/>
  <c r="Y63" i="20" s="1"/>
  <c r="BG62" i="20"/>
  <c r="E63" i="20" s="1"/>
  <c r="V63" i="20" s="1"/>
  <c r="BD62" i="20"/>
  <c r="BI62" i="20"/>
  <c r="G63" i="20" s="1"/>
  <c r="X63" i="20" s="1"/>
  <c r="AC48" i="19"/>
  <c r="AM48" i="19"/>
  <c r="AS48" i="19"/>
  <c r="AJ48" i="19"/>
  <c r="J48" i="19"/>
  <c r="K48" i="19" s="1"/>
  <c r="L48" i="19" s="1"/>
  <c r="V48" i="19"/>
  <c r="AD48" i="19"/>
  <c r="P48" i="19"/>
  <c r="Q48" i="19"/>
  <c r="AT48" i="19" l="1"/>
  <c r="AU48" i="19" s="1"/>
  <c r="AQ62" i="20"/>
  <c r="Z63" i="26"/>
  <c r="S63" i="23"/>
  <c r="I63" i="23"/>
  <c r="J63" i="23" s="1"/>
  <c r="K63" i="23" s="1"/>
  <c r="L63" i="23" s="1"/>
  <c r="B63" i="20"/>
  <c r="BL62" i="20"/>
  <c r="W48" i="19"/>
  <c r="X48" i="19"/>
  <c r="B49" i="19"/>
  <c r="H49" i="19"/>
  <c r="AA63" i="26" l="1"/>
  <c r="AB63" i="26" s="1"/>
  <c r="AC63" i="26" s="1"/>
  <c r="BA63" i="26"/>
  <c r="AD63" i="26"/>
  <c r="BK63" i="26"/>
  <c r="AZ63" i="26"/>
  <c r="AM63" i="26"/>
  <c r="AV63" i="26"/>
  <c r="AK63" i="26"/>
  <c r="AN63" i="26"/>
  <c r="AW63" i="26"/>
  <c r="AY63" i="26"/>
  <c r="AJ63" i="26"/>
  <c r="AH63" i="26"/>
  <c r="AT63" i="26"/>
  <c r="Z63" i="23"/>
  <c r="S63" i="20"/>
  <c r="I63" i="20"/>
  <c r="Y48" i="19"/>
  <c r="I49" i="19"/>
  <c r="S49" i="19" s="1"/>
  <c r="AF49" i="19" l="1"/>
  <c r="AP49" i="19"/>
  <c r="E50" i="19" s="1"/>
  <c r="AO49" i="19"/>
  <c r="D50" i="19" s="1"/>
  <c r="R49" i="19"/>
  <c r="AE49" i="19"/>
  <c r="AR49" i="19"/>
  <c r="G50" i="19" s="1"/>
  <c r="BI63" i="26"/>
  <c r="G64" i="26" s="1"/>
  <c r="BG63" i="26"/>
  <c r="E64" i="26" s="1"/>
  <c r="BD63" i="26"/>
  <c r="BJ63" i="26"/>
  <c r="H64" i="26" s="1"/>
  <c r="Y64" i="26" s="1"/>
  <c r="BF63" i="26"/>
  <c r="D64" i="26" s="1"/>
  <c r="AP63" i="26"/>
  <c r="AO63" i="26"/>
  <c r="AA63" i="23"/>
  <c r="AB63" i="23" s="1"/>
  <c r="AC63" i="23" s="1"/>
  <c r="BK63" i="23"/>
  <c r="BA63" i="23"/>
  <c r="AD63" i="23"/>
  <c r="AJ63" i="23"/>
  <c r="AN63" i="23"/>
  <c r="AK63" i="23"/>
  <c r="AM63" i="23"/>
  <c r="AV63" i="23"/>
  <c r="AZ63" i="23"/>
  <c r="AW63" i="23"/>
  <c r="AY63" i="23"/>
  <c r="AH63" i="23"/>
  <c r="AT63" i="23"/>
  <c r="U49" i="19"/>
  <c r="V49" i="19"/>
  <c r="AI49" i="19"/>
  <c r="AC49" i="19"/>
  <c r="J63" i="20"/>
  <c r="K63" i="20" s="1"/>
  <c r="L63" i="20" s="1"/>
  <c r="Z63" i="20"/>
  <c r="AT63" i="20" s="1"/>
  <c r="P49" i="19"/>
  <c r="AS49" i="19"/>
  <c r="AM49" i="19"/>
  <c r="J49" i="19"/>
  <c r="K49" i="19" s="1"/>
  <c r="L49" i="19" s="1"/>
  <c r="AJ49" i="19"/>
  <c r="AH49" i="19"/>
  <c r="AT49" i="19" l="1"/>
  <c r="AU49" i="19" s="1"/>
  <c r="X65" i="26"/>
  <c r="U65" i="26"/>
  <c r="V65" i="26"/>
  <c r="AQ63" i="26"/>
  <c r="B64" i="26"/>
  <c r="S64" i="26" s="1"/>
  <c r="BL63" i="26"/>
  <c r="AP63" i="23"/>
  <c r="AO63" i="23"/>
  <c r="BJ63" i="23"/>
  <c r="H64" i="23" s="1"/>
  <c r="Y64" i="23" s="1"/>
  <c r="Y65" i="23" s="1"/>
  <c r="BI63" i="23"/>
  <c r="G64" i="23" s="1"/>
  <c r="X64" i="23" s="1"/>
  <c r="X65" i="23" s="1"/>
  <c r="BF63" i="23"/>
  <c r="D64" i="23" s="1"/>
  <c r="U64" i="23" s="1"/>
  <c r="U65" i="23" s="1"/>
  <c r="BG63" i="23"/>
  <c r="E64" i="23" s="1"/>
  <c r="V64" i="23" s="1"/>
  <c r="V65" i="23" s="1"/>
  <c r="BD63" i="23"/>
  <c r="AH63" i="20"/>
  <c r="AA63" i="20"/>
  <c r="AB63" i="20" s="1"/>
  <c r="AC63" i="20" s="1"/>
  <c r="AD63" i="20"/>
  <c r="BA63" i="20"/>
  <c r="BK63" i="20"/>
  <c r="AK63" i="20"/>
  <c r="AZ63" i="20"/>
  <c r="AW63" i="20"/>
  <c r="AN63" i="20"/>
  <c r="AY63" i="20"/>
  <c r="AJ63" i="20"/>
  <c r="AM63" i="20"/>
  <c r="AV63" i="20"/>
  <c r="H50" i="19"/>
  <c r="B50" i="19"/>
  <c r="X49" i="19"/>
  <c r="W49" i="19"/>
  <c r="S65" i="26" l="1"/>
  <c r="Y65" i="26"/>
  <c r="AQ63" i="23"/>
  <c r="I64" i="26"/>
  <c r="J64" i="26" s="1"/>
  <c r="K64" i="26" s="1"/>
  <c r="L64" i="26" s="1"/>
  <c r="B64" i="23"/>
  <c r="BL63" i="23"/>
  <c r="Y49" i="19"/>
  <c r="BJ63" i="20"/>
  <c r="H64" i="20" s="1"/>
  <c r="Y64" i="20" s="1"/>
  <c r="BD63" i="20"/>
  <c r="BI63" i="20"/>
  <c r="G64" i="20" s="1"/>
  <c r="X64" i="20" s="1"/>
  <c r="BG63" i="20"/>
  <c r="E64" i="20" s="1"/>
  <c r="V64" i="20" s="1"/>
  <c r="BF63" i="20"/>
  <c r="D64" i="20" s="1"/>
  <c r="U64" i="20" s="1"/>
  <c r="AO63" i="20"/>
  <c r="AP63" i="20"/>
  <c r="I50" i="19"/>
  <c r="R50" i="19" l="1"/>
  <c r="S50" i="19"/>
  <c r="AP50" i="19"/>
  <c r="E51" i="19" s="1"/>
  <c r="AO50" i="19"/>
  <c r="D51" i="19" s="1"/>
  <c r="AE50" i="19"/>
  <c r="AF50" i="19"/>
  <c r="P50" i="19"/>
  <c r="AR50" i="19"/>
  <c r="G51" i="19" s="1"/>
  <c r="Z64" i="26"/>
  <c r="S64" i="23"/>
  <c r="S65" i="23" s="1"/>
  <c r="I64" i="23"/>
  <c r="J64" i="23" s="1"/>
  <c r="K64" i="23" s="1"/>
  <c r="L64" i="23" s="1"/>
  <c r="AQ63" i="20"/>
  <c r="B64" i="20"/>
  <c r="BL63" i="20"/>
  <c r="V50" i="19"/>
  <c r="AC50" i="19"/>
  <c r="AI50" i="19"/>
  <c r="AM50" i="19"/>
  <c r="AS50" i="19"/>
  <c r="U50" i="19"/>
  <c r="AH50" i="19"/>
  <c r="AJ50" i="19"/>
  <c r="J50" i="19"/>
  <c r="K50" i="19" s="1"/>
  <c r="L50" i="19" s="1"/>
  <c r="AT50" i="19" l="1"/>
  <c r="AU50" i="19" s="1"/>
  <c r="X50" i="19"/>
  <c r="AT64" i="26"/>
  <c r="Z65" i="26"/>
  <c r="AH64" i="26"/>
  <c r="BK64" i="26"/>
  <c r="AA64" i="26"/>
  <c r="AB64" i="26" s="1"/>
  <c r="AC64" i="26" s="1"/>
  <c r="BA64" i="26"/>
  <c r="AD64" i="26"/>
  <c r="AV64" i="26"/>
  <c r="AZ64" i="26"/>
  <c r="AK64" i="26"/>
  <c r="AY64" i="26"/>
  <c r="AW64" i="26"/>
  <c r="AN64" i="26"/>
  <c r="AJ64" i="26"/>
  <c r="AM64" i="26"/>
  <c r="Z64" i="23"/>
  <c r="AT64" i="23" s="1"/>
  <c r="S64" i="20"/>
  <c r="I64" i="20"/>
  <c r="H51" i="19"/>
  <c r="B51" i="19"/>
  <c r="W50" i="19"/>
  <c r="Y50" i="19" l="1"/>
  <c r="AH64" i="23"/>
  <c r="AO64" i="26"/>
  <c r="BF64" i="26"/>
  <c r="BJ64" i="26"/>
  <c r="BD64" i="26"/>
  <c r="B65" i="26" s="1"/>
  <c r="BI64" i="26"/>
  <c r="BG64" i="26"/>
  <c r="AP64" i="26"/>
  <c r="BK64" i="23"/>
  <c r="BA64" i="23"/>
  <c r="AD64" i="23"/>
  <c r="AA64" i="23"/>
  <c r="AB64" i="23" s="1"/>
  <c r="AC64" i="23" s="1"/>
  <c r="AV64" i="23"/>
  <c r="AY64" i="23"/>
  <c r="AM64" i="23"/>
  <c r="AZ64" i="23"/>
  <c r="AJ64" i="23"/>
  <c r="AK64" i="23"/>
  <c r="AN64" i="23"/>
  <c r="AW64" i="23"/>
  <c r="J64" i="20"/>
  <c r="K64" i="20" s="1"/>
  <c r="L64" i="20" s="1"/>
  <c r="Z64" i="20"/>
  <c r="AH64" i="20" s="1"/>
  <c r="I51" i="19"/>
  <c r="AE51" i="19" l="1"/>
  <c r="AR51" i="19"/>
  <c r="G52" i="19" s="1"/>
  <c r="AQ64" i="26"/>
  <c r="D65" i="26"/>
  <c r="H65" i="26"/>
  <c r="G65" i="26"/>
  <c r="E65" i="26"/>
  <c r="BL64" i="26"/>
  <c r="AO64" i="23"/>
  <c r="BJ64" i="23"/>
  <c r="H65" i="23" s="1"/>
  <c r="BG64" i="23"/>
  <c r="E65" i="23" s="1"/>
  <c r="BI64" i="23"/>
  <c r="G65" i="23" s="1"/>
  <c r="BF64" i="23"/>
  <c r="D65" i="23" s="1"/>
  <c r="BD64" i="23"/>
  <c r="B65" i="23" s="1"/>
  <c r="AP64" i="23"/>
  <c r="AT64" i="20"/>
  <c r="BK64" i="20"/>
  <c r="AD64" i="20"/>
  <c r="AA64" i="20"/>
  <c r="AB64" i="20" s="1"/>
  <c r="AC64" i="20" s="1"/>
  <c r="BA64" i="20"/>
  <c r="AJ64" i="20"/>
  <c r="AY64" i="20"/>
  <c r="AV64" i="20"/>
  <c r="AK64" i="20"/>
  <c r="AW64" i="20"/>
  <c r="AN64" i="20"/>
  <c r="AZ64" i="20"/>
  <c r="AM64" i="20"/>
  <c r="P51" i="19"/>
  <c r="AC51" i="19"/>
  <c r="V51" i="19"/>
  <c r="R51" i="19"/>
  <c r="AI51" i="19"/>
  <c r="AF51" i="19"/>
  <c r="AS51" i="19"/>
  <c r="AM51" i="19"/>
  <c r="AP51" i="19"/>
  <c r="AO51" i="19"/>
  <c r="J51" i="19"/>
  <c r="K51" i="19" s="1"/>
  <c r="L51" i="19" s="1"/>
  <c r="AJ51" i="19"/>
  <c r="AH51" i="19"/>
  <c r="U51" i="19"/>
  <c r="S51" i="19"/>
  <c r="AT51" i="19" l="1"/>
  <c r="AU51" i="19" s="1"/>
  <c r="AQ64" i="23"/>
  <c r="BL64" i="23"/>
  <c r="AO64" i="20"/>
  <c r="BD64" i="20"/>
  <c r="BG64" i="20"/>
  <c r="E65" i="20" s="1"/>
  <c r="V65" i="20" s="1"/>
  <c r="BJ64" i="20"/>
  <c r="H65" i="20" s="1"/>
  <c r="Y65" i="20" s="1"/>
  <c r="BI64" i="20"/>
  <c r="G65" i="20" s="1"/>
  <c r="X65" i="20" s="1"/>
  <c r="BF64" i="20"/>
  <c r="D65" i="20" s="1"/>
  <c r="U65" i="20" s="1"/>
  <c r="AP64" i="20"/>
  <c r="X51" i="19"/>
  <c r="D52" i="19"/>
  <c r="H52" i="19"/>
  <c r="E52" i="19"/>
  <c r="W51" i="19"/>
  <c r="B52" i="19"/>
  <c r="AQ64" i="20" l="1"/>
  <c r="Y51" i="19"/>
  <c r="B65" i="20"/>
  <c r="BL64" i="20"/>
  <c r="I52" i="19"/>
  <c r="V52" i="19" s="1"/>
  <c r="AI52" i="19" l="1"/>
  <c r="I65" i="20"/>
  <c r="S65" i="20"/>
  <c r="AE52" i="19"/>
  <c r="AM52" i="19"/>
  <c r="AP52" i="19"/>
  <c r="E53" i="19" s="1"/>
  <c r="AS52" i="19"/>
  <c r="H53" i="19" s="1"/>
  <c r="AR52" i="19"/>
  <c r="G53" i="19" s="1"/>
  <c r="AO52" i="19"/>
  <c r="D53" i="19" s="1"/>
  <c r="J52" i="19"/>
  <c r="K52" i="19" s="1"/>
  <c r="L52" i="19" s="1"/>
  <c r="AJ52" i="19"/>
  <c r="U52" i="19"/>
  <c r="AH52" i="19"/>
  <c r="AC52" i="19"/>
  <c r="AF52" i="19"/>
  <c r="R52" i="19"/>
  <c r="P52" i="19"/>
  <c r="S52" i="19"/>
  <c r="B53" i="19" l="1"/>
  <c r="I53" i="19" s="1"/>
  <c r="AC53" i="19" s="1"/>
  <c r="AT52" i="19"/>
  <c r="AU52" i="19" s="1"/>
  <c r="Z65" i="20"/>
  <c r="AT65" i="20" s="1"/>
  <c r="J65" i="20"/>
  <c r="K65" i="20" s="1"/>
  <c r="L65" i="20" s="1"/>
  <c r="W52" i="19"/>
  <c r="X52" i="19"/>
  <c r="AH65" i="20" l="1"/>
  <c r="U53" i="19"/>
  <c r="R53" i="19"/>
  <c r="AH53" i="19"/>
  <c r="AE53" i="19"/>
  <c r="S53" i="19"/>
  <c r="BA65" i="20"/>
  <c r="AD65" i="20"/>
  <c r="AA65" i="20"/>
  <c r="AB65" i="20" s="1"/>
  <c r="AC65" i="20" s="1"/>
  <c r="BK65" i="20"/>
  <c r="AJ65" i="20"/>
  <c r="AK65" i="20"/>
  <c r="AV65" i="20"/>
  <c r="AN65" i="20"/>
  <c r="AY65" i="20"/>
  <c r="AW65" i="20"/>
  <c r="AM65" i="20"/>
  <c r="AZ65" i="20"/>
  <c r="P53" i="19"/>
  <c r="AJ53" i="19"/>
  <c r="AR53" i="19"/>
  <c r="G54" i="19" s="1"/>
  <c r="J53" i="19"/>
  <c r="K53" i="19" s="1"/>
  <c r="L53" i="19" s="1"/>
  <c r="AS53" i="19"/>
  <c r="H54" i="19" s="1"/>
  <c r="AP53" i="19"/>
  <c r="E54" i="19" s="1"/>
  <c r="AM53" i="19"/>
  <c r="AO53" i="19"/>
  <c r="D54" i="19" s="1"/>
  <c r="Y52" i="19"/>
  <c r="V53" i="19"/>
  <c r="AF53" i="19"/>
  <c r="AI53" i="19"/>
  <c r="B54" i="19" l="1"/>
  <c r="I54" i="19" s="1"/>
  <c r="AC54" i="19" s="1"/>
  <c r="AT53" i="19"/>
  <c r="AU53" i="19" s="1"/>
  <c r="X53" i="19"/>
  <c r="W53" i="19"/>
  <c r="AO65" i="20"/>
  <c r="AP65" i="20"/>
  <c r="BF65" i="20"/>
  <c r="D66" i="20" s="1"/>
  <c r="U66" i="20" s="1"/>
  <c r="BD65" i="20"/>
  <c r="BJ65" i="20"/>
  <c r="H66" i="20" s="1"/>
  <c r="Y66" i="20" s="1"/>
  <c r="BI65" i="20"/>
  <c r="G66" i="20" s="1"/>
  <c r="X66" i="20" s="1"/>
  <c r="BG65" i="20"/>
  <c r="E66" i="20" s="1"/>
  <c r="V66" i="20" s="1"/>
  <c r="Y53" i="19" l="1"/>
  <c r="AH54" i="19"/>
  <c r="AQ65" i="20"/>
  <c r="B66" i="20"/>
  <c r="BL65" i="20"/>
  <c r="U54" i="19"/>
  <c r="S54" i="19"/>
  <c r="AF54" i="19"/>
  <c r="R54" i="19"/>
  <c r="AE54" i="19"/>
  <c r="AI54" i="19"/>
  <c r="P54" i="19"/>
  <c r="V54" i="19"/>
  <c r="AO54" i="19"/>
  <c r="D55" i="19" s="1"/>
  <c r="AJ54" i="19"/>
  <c r="AP54" i="19"/>
  <c r="E55" i="19" s="1"/>
  <c r="AS54" i="19"/>
  <c r="H55" i="19" s="1"/>
  <c r="J54" i="19"/>
  <c r="K54" i="19" s="1"/>
  <c r="L54" i="19" s="1"/>
  <c r="AM54" i="19"/>
  <c r="AR54" i="19"/>
  <c r="G55" i="19" s="1"/>
  <c r="B55" i="19" l="1"/>
  <c r="I55" i="19" s="1"/>
  <c r="AI55" i="19" s="1"/>
  <c r="AT54" i="19"/>
  <c r="AU54" i="19" s="1"/>
  <c r="X54" i="19"/>
  <c r="S66" i="20"/>
  <c r="I66" i="20"/>
  <c r="W54" i="19"/>
  <c r="Y54" i="19" l="1"/>
  <c r="S55" i="19"/>
  <c r="P55" i="19"/>
  <c r="AC55" i="19"/>
  <c r="J66" i="20"/>
  <c r="K66" i="20" s="1"/>
  <c r="L66" i="20" s="1"/>
  <c r="Z66" i="20"/>
  <c r="AT66" i="20" s="1"/>
  <c r="AO55" i="19"/>
  <c r="D56" i="19" s="1"/>
  <c r="AS55" i="19"/>
  <c r="H56" i="19" s="1"/>
  <c r="AM55" i="19"/>
  <c r="AJ55" i="19"/>
  <c r="AP55" i="19"/>
  <c r="E56" i="19" s="1"/>
  <c r="AR55" i="19"/>
  <c r="G56" i="19" s="1"/>
  <c r="J55" i="19"/>
  <c r="K55" i="19" s="1"/>
  <c r="L55" i="19" s="1"/>
  <c r="AE55" i="19"/>
  <c r="V55" i="19"/>
  <c r="R55" i="19"/>
  <c r="U55" i="19"/>
  <c r="AF55" i="19"/>
  <c r="AH55" i="19"/>
  <c r="B56" i="19" l="1"/>
  <c r="I56" i="19" s="1"/>
  <c r="R56" i="19" s="1"/>
  <c r="AT55" i="19"/>
  <c r="AU55" i="19" s="1"/>
  <c r="AH66" i="20"/>
  <c r="AA66" i="20"/>
  <c r="AB66" i="20" s="1"/>
  <c r="AC66" i="20" s="1"/>
  <c r="AD66" i="20"/>
  <c r="BK66" i="20"/>
  <c r="BA66" i="20"/>
  <c r="AZ66" i="20"/>
  <c r="AJ66" i="20"/>
  <c r="AN66" i="20"/>
  <c r="AV66" i="20"/>
  <c r="AK66" i="20"/>
  <c r="AW66" i="20"/>
  <c r="AY66" i="20"/>
  <c r="AM66" i="20"/>
  <c r="W55" i="19"/>
  <c r="X55" i="19"/>
  <c r="AP66" i="20" l="1"/>
  <c r="AI56" i="19"/>
  <c r="BI66" i="20"/>
  <c r="G67" i="20" s="1"/>
  <c r="X67" i="20" s="1"/>
  <c r="BD66" i="20"/>
  <c r="BJ66" i="20"/>
  <c r="H67" i="20" s="1"/>
  <c r="Y67" i="20" s="1"/>
  <c r="BG66" i="20"/>
  <c r="E67" i="20" s="1"/>
  <c r="V67" i="20" s="1"/>
  <c r="BF66" i="20"/>
  <c r="D67" i="20" s="1"/>
  <c r="U67" i="20" s="1"/>
  <c r="U56" i="19"/>
  <c r="Y55" i="19"/>
  <c r="AC56" i="19"/>
  <c r="AO66" i="20"/>
  <c r="AQ66" i="20" s="1"/>
  <c r="P56" i="19"/>
  <c r="AE56" i="19"/>
  <c r="V56" i="19"/>
  <c r="AJ56" i="19"/>
  <c r="AM56" i="19"/>
  <c r="AR56" i="19"/>
  <c r="G57" i="19" s="1"/>
  <c r="AP56" i="19"/>
  <c r="E57" i="19" s="1"/>
  <c r="J56" i="19"/>
  <c r="K56" i="19" s="1"/>
  <c r="L56" i="19" s="1"/>
  <c r="AO56" i="19"/>
  <c r="D57" i="19" s="1"/>
  <c r="AS56" i="19"/>
  <c r="H57" i="19" s="1"/>
  <c r="S56" i="19"/>
  <c r="AF56" i="19"/>
  <c r="AH56" i="19"/>
  <c r="B57" i="19" l="1"/>
  <c r="AT56" i="19"/>
  <c r="AU56" i="19" s="1"/>
  <c r="B67" i="20"/>
  <c r="BL66" i="20"/>
  <c r="I57" i="19"/>
  <c r="R57" i="19" s="1"/>
  <c r="X56" i="19"/>
  <c r="W56" i="19"/>
  <c r="AC57" i="19" l="1"/>
  <c r="S57" i="19"/>
  <c r="AF57" i="19"/>
  <c r="U57" i="19"/>
  <c r="AH57" i="19"/>
  <c r="Y56" i="19"/>
  <c r="AI57" i="19"/>
  <c r="S67" i="20"/>
  <c r="I67" i="20"/>
  <c r="J67" i="20" s="1"/>
  <c r="K67" i="20" s="1"/>
  <c r="L67" i="20" s="1"/>
  <c r="V57" i="19"/>
  <c r="P57" i="19"/>
  <c r="AE57" i="19"/>
  <c r="AP57" i="19"/>
  <c r="E58" i="19" s="1"/>
  <c r="AS57" i="19"/>
  <c r="H58" i="19" s="1"/>
  <c r="AR57" i="19"/>
  <c r="G58" i="19" s="1"/>
  <c r="J57" i="19"/>
  <c r="K57" i="19" s="1"/>
  <c r="L57" i="19" s="1"/>
  <c r="AJ57" i="19"/>
  <c r="AO57" i="19"/>
  <c r="D58" i="19" s="1"/>
  <c r="AM57" i="19"/>
  <c r="B58" i="19" l="1"/>
  <c r="I58" i="19" s="1"/>
  <c r="AC58" i="19" s="1"/>
  <c r="AT57" i="19"/>
  <c r="AU57" i="19" s="1"/>
  <c r="X57" i="19"/>
  <c r="W57" i="19"/>
  <c r="Z67" i="20"/>
  <c r="AT67" i="20" s="1"/>
  <c r="Y57" i="19" l="1"/>
  <c r="AH67" i="20"/>
  <c r="BA67" i="20"/>
  <c r="BK67" i="20"/>
  <c r="AD67" i="20"/>
  <c r="AA67" i="20"/>
  <c r="AB67" i="20" s="1"/>
  <c r="AC67" i="20" s="1"/>
  <c r="AV67" i="20"/>
  <c r="AY67" i="20"/>
  <c r="AJ67" i="20"/>
  <c r="AM67" i="20"/>
  <c r="AK67" i="20"/>
  <c r="AW67" i="20"/>
  <c r="AZ67" i="20"/>
  <c r="AN67" i="20"/>
  <c r="AI58" i="19"/>
  <c r="U58" i="19"/>
  <c r="S58" i="19"/>
  <c r="R58" i="19"/>
  <c r="AH58" i="19"/>
  <c r="AF58" i="19"/>
  <c r="V58" i="19"/>
  <c r="AE58" i="19"/>
  <c r="AP58" i="19"/>
  <c r="E59" i="19" s="1"/>
  <c r="AM58" i="19"/>
  <c r="AJ58" i="19"/>
  <c r="AS58" i="19"/>
  <c r="H59" i="19" s="1"/>
  <c r="AO58" i="19"/>
  <c r="D59" i="19" s="1"/>
  <c r="AR58" i="19"/>
  <c r="G59" i="19" s="1"/>
  <c r="J58" i="19"/>
  <c r="K58" i="19" s="1"/>
  <c r="L58" i="19" s="1"/>
  <c r="P58" i="19"/>
  <c r="B59" i="19" l="1"/>
  <c r="AT58" i="19"/>
  <c r="AU58" i="19" s="1"/>
  <c r="AP67" i="20"/>
  <c r="BF67" i="20"/>
  <c r="D68" i="20" s="1"/>
  <c r="U68" i="20" s="1"/>
  <c r="BI67" i="20"/>
  <c r="G68" i="20" s="1"/>
  <c r="X68" i="20" s="1"/>
  <c r="BD67" i="20"/>
  <c r="B68" i="20" s="1"/>
  <c r="BG67" i="20"/>
  <c r="E68" i="20" s="1"/>
  <c r="V68" i="20" s="1"/>
  <c r="BJ67" i="20"/>
  <c r="H68" i="20" s="1"/>
  <c r="Y68" i="20" s="1"/>
  <c r="AO67" i="20"/>
  <c r="X58" i="19"/>
  <c r="W58" i="19"/>
  <c r="I59" i="19"/>
  <c r="AC59" i="19" s="1"/>
  <c r="P59" i="19" l="1"/>
  <c r="R59" i="19"/>
  <c r="I68" i="20"/>
  <c r="J68" i="20" s="1"/>
  <c r="K68" i="20" s="1"/>
  <c r="L68" i="20" s="1"/>
  <c r="S68" i="20"/>
  <c r="AQ67" i="20"/>
  <c r="Y58" i="19"/>
  <c r="BL67" i="20"/>
  <c r="J59" i="19"/>
  <c r="AM59" i="19"/>
  <c r="AO59" i="19"/>
  <c r="D60" i="19" s="1"/>
  <c r="AJ59" i="19"/>
  <c r="AP59" i="19"/>
  <c r="E60" i="19" s="1"/>
  <c r="AS59" i="19"/>
  <c r="H60" i="19" s="1"/>
  <c r="AR59" i="19"/>
  <c r="G60" i="19" s="1"/>
  <c r="AI59" i="19"/>
  <c r="S59" i="19"/>
  <c r="V59" i="19"/>
  <c r="U59" i="19"/>
  <c r="AF59" i="19"/>
  <c r="AH59" i="19"/>
  <c r="AE59" i="19"/>
  <c r="B60" i="19" l="1"/>
  <c r="I60" i="19" s="1"/>
  <c r="AH60" i="19" s="1"/>
  <c r="AT59" i="19"/>
  <c r="AU59" i="19" s="1"/>
  <c r="Z68" i="20"/>
  <c r="AH68" i="20" s="1"/>
  <c r="AA59" i="19"/>
  <c r="W59" i="19"/>
  <c r="K59" i="19"/>
  <c r="L59" i="19" s="1"/>
  <c r="X59" i="19"/>
  <c r="AT68" i="20" l="1"/>
  <c r="AA68" i="20"/>
  <c r="AB68" i="20" s="1"/>
  <c r="AC68" i="20" s="1"/>
  <c r="BA68" i="20"/>
  <c r="AD68" i="20"/>
  <c r="BK68" i="20"/>
  <c r="AZ68" i="20"/>
  <c r="AM68" i="20"/>
  <c r="AJ68" i="20"/>
  <c r="AN68" i="20"/>
  <c r="AY68" i="20"/>
  <c r="AK68" i="20"/>
  <c r="AW68" i="20"/>
  <c r="AV68" i="20"/>
  <c r="U60" i="19"/>
  <c r="AC60" i="19"/>
  <c r="AF60" i="19"/>
  <c r="R60" i="19"/>
  <c r="S60" i="19"/>
  <c r="AE60" i="19"/>
  <c r="AI60" i="19"/>
  <c r="Y59" i="19"/>
  <c r="V60" i="19"/>
  <c r="AR60" i="19"/>
  <c r="G61" i="19" s="1"/>
  <c r="AJ60" i="19"/>
  <c r="AO60" i="19"/>
  <c r="D61" i="19" s="1"/>
  <c r="AM60" i="19"/>
  <c r="AS60" i="19"/>
  <c r="H61" i="19" s="1"/>
  <c r="AP60" i="19"/>
  <c r="E61" i="19" s="1"/>
  <c r="J60" i="19"/>
  <c r="P60" i="19"/>
  <c r="B61" i="19" l="1"/>
  <c r="I61" i="19" s="1"/>
  <c r="AE61" i="19" s="1"/>
  <c r="AT60" i="19"/>
  <c r="AU60" i="19" s="1"/>
  <c r="AO68" i="20"/>
  <c r="BI68" i="20"/>
  <c r="G69" i="20" s="1"/>
  <c r="X69" i="20" s="1"/>
  <c r="BD68" i="20"/>
  <c r="BJ68" i="20"/>
  <c r="H69" i="20" s="1"/>
  <c r="Y69" i="20" s="1"/>
  <c r="BG68" i="20"/>
  <c r="E69" i="20" s="1"/>
  <c r="V69" i="20" s="1"/>
  <c r="BF68" i="20"/>
  <c r="D69" i="20" s="1"/>
  <c r="U69" i="20" s="1"/>
  <c r="AP68" i="20"/>
  <c r="W60" i="19"/>
  <c r="X60" i="19"/>
  <c r="K60" i="19"/>
  <c r="I69" i="19"/>
  <c r="I10" i="8" s="1"/>
  <c r="Y70" i="20" l="1"/>
  <c r="B69" i="20"/>
  <c r="BL68" i="20"/>
  <c r="X70" i="20"/>
  <c r="U70" i="20"/>
  <c r="V70" i="20"/>
  <c r="AQ68" i="20"/>
  <c r="Y60" i="19"/>
  <c r="P61" i="19"/>
  <c r="V61" i="19"/>
  <c r="AP61" i="19"/>
  <c r="E62" i="19" s="1"/>
  <c r="AO61" i="19"/>
  <c r="D62" i="19" s="1"/>
  <c r="AJ61" i="19"/>
  <c r="AS61" i="19"/>
  <c r="H62" i="19" s="1"/>
  <c r="AM61" i="19"/>
  <c r="AR61" i="19"/>
  <c r="G62" i="19" s="1"/>
  <c r="J61" i="19"/>
  <c r="AF61" i="19"/>
  <c r="S61" i="19"/>
  <c r="R61" i="19"/>
  <c r="U61" i="19"/>
  <c r="AC61" i="19"/>
  <c r="AI61" i="19"/>
  <c r="I70" i="19"/>
  <c r="I11" i="8" s="1"/>
  <c r="L60" i="19"/>
  <c r="AH61" i="19"/>
  <c r="B62" i="19" l="1"/>
  <c r="I62" i="19" s="1"/>
  <c r="S62" i="19" s="1"/>
  <c r="AT61" i="19"/>
  <c r="AU61" i="19" s="1"/>
  <c r="I69" i="20"/>
  <c r="S69" i="20"/>
  <c r="I66" i="26"/>
  <c r="I75" i="26"/>
  <c r="W61" i="19"/>
  <c r="X61" i="19"/>
  <c r="K61" i="19"/>
  <c r="L61" i="19" s="1"/>
  <c r="Y61" i="19" l="1"/>
  <c r="R62" i="19"/>
  <c r="AF62" i="19"/>
  <c r="Z69" i="20"/>
  <c r="AT69" i="20" s="1"/>
  <c r="S70" i="20"/>
  <c r="Z70" i="20" s="1"/>
  <c r="I71" i="20" s="1"/>
  <c r="J69" i="20"/>
  <c r="K69" i="20" s="1"/>
  <c r="L69" i="20" s="1"/>
  <c r="I80" i="20"/>
  <c r="I68" i="26"/>
  <c r="I67" i="26"/>
  <c r="I75" i="23"/>
  <c r="Z65" i="23"/>
  <c r="I66" i="23" s="1"/>
  <c r="P62" i="19"/>
  <c r="AC62" i="19"/>
  <c r="AI62" i="19"/>
  <c r="V62" i="19"/>
  <c r="U62" i="19"/>
  <c r="AH62" i="19"/>
  <c r="AE62" i="19"/>
  <c r="AS62" i="19"/>
  <c r="H63" i="19" s="1"/>
  <c r="AM62" i="19"/>
  <c r="AR62" i="19"/>
  <c r="G63" i="19" s="1"/>
  <c r="J62" i="19"/>
  <c r="AJ62" i="19"/>
  <c r="AP62" i="19"/>
  <c r="E63" i="19" s="1"/>
  <c r="AO62" i="19"/>
  <c r="D63" i="19" s="1"/>
  <c r="B63" i="19" l="1"/>
  <c r="I63" i="19" s="1"/>
  <c r="U63" i="19" s="1"/>
  <c r="AT62" i="19"/>
  <c r="AU62" i="19" s="1"/>
  <c r="X62" i="19"/>
  <c r="I22" i="8"/>
  <c r="I73" i="20"/>
  <c r="I24" i="8" s="1"/>
  <c r="BA69" i="20"/>
  <c r="AD69" i="20"/>
  <c r="BK69" i="20"/>
  <c r="AA69" i="20"/>
  <c r="AB69" i="20" s="1"/>
  <c r="AC69" i="20" s="1"/>
  <c r="I72" i="20" s="1"/>
  <c r="I23" i="8" s="1"/>
  <c r="AZ69" i="20"/>
  <c r="AJ69" i="20"/>
  <c r="AW69" i="20"/>
  <c r="AN69" i="20"/>
  <c r="I29" i="8" s="1"/>
  <c r="AM69" i="20"/>
  <c r="AV69" i="20"/>
  <c r="AY69" i="20"/>
  <c r="AK69" i="20"/>
  <c r="AH69" i="20"/>
  <c r="I68" i="23"/>
  <c r="I67" i="23"/>
  <c r="W62" i="19"/>
  <c r="K62" i="19"/>
  <c r="L62" i="19" s="1"/>
  <c r="Y62" i="19" l="1"/>
  <c r="AP69" i="20"/>
  <c r="I28" i="8"/>
  <c r="I30" i="8" s="1"/>
  <c r="AO69" i="20"/>
  <c r="BJ69" i="20"/>
  <c r="H70" i="20" s="1"/>
  <c r="BI69" i="20"/>
  <c r="G70" i="20" s="1"/>
  <c r="BG69" i="20"/>
  <c r="E70" i="20" s="1"/>
  <c r="BF69" i="20"/>
  <c r="D70" i="20" s="1"/>
  <c r="BD69" i="20"/>
  <c r="I65" i="26"/>
  <c r="AC63" i="19"/>
  <c r="P63" i="19"/>
  <c r="V63" i="19"/>
  <c r="AI63" i="19"/>
  <c r="AH63" i="19"/>
  <c r="AP63" i="19"/>
  <c r="E64" i="19" s="1"/>
  <c r="E65" i="19" s="1"/>
  <c r="AS63" i="19"/>
  <c r="H64" i="19" s="1"/>
  <c r="H65" i="19" s="1"/>
  <c r="AO63" i="19"/>
  <c r="D64" i="19" s="1"/>
  <c r="D65" i="19" s="1"/>
  <c r="AR63" i="19"/>
  <c r="G64" i="19" s="1"/>
  <c r="G65" i="19" s="1"/>
  <c r="AM63" i="19"/>
  <c r="J63" i="19"/>
  <c r="K63" i="19" s="1"/>
  <c r="L63" i="19" s="1"/>
  <c r="AJ63" i="19"/>
  <c r="R63" i="19"/>
  <c r="AF63" i="19"/>
  <c r="S63" i="19"/>
  <c r="AE63" i="19"/>
  <c r="B64" i="19" l="1"/>
  <c r="B65" i="19" s="1"/>
  <c r="AT63" i="19"/>
  <c r="AU63" i="19" s="1"/>
  <c r="AQ69" i="20"/>
  <c r="BL69" i="20"/>
  <c r="B70" i="20"/>
  <c r="I70" i="20" s="1"/>
  <c r="I73" i="26"/>
  <c r="I72" i="26"/>
  <c r="I65" i="23"/>
  <c r="W63" i="19"/>
  <c r="X63" i="19"/>
  <c r="I64" i="19" l="1"/>
  <c r="S64" i="19" s="1"/>
  <c r="I78" i="20"/>
  <c r="I77" i="20"/>
  <c r="I21" i="8"/>
  <c r="I73" i="23"/>
  <c r="I72" i="23"/>
  <c r="Y63" i="19"/>
  <c r="P64" i="19"/>
  <c r="AO64" i="19"/>
  <c r="AS64" i="19" l="1"/>
  <c r="J64" i="19"/>
  <c r="K64" i="19" s="1"/>
  <c r="L64" i="19" s="1"/>
  <c r="AR64" i="19"/>
  <c r="V64" i="19"/>
  <c r="AF64" i="19"/>
  <c r="AJ64" i="19"/>
  <c r="AC64" i="19"/>
  <c r="AM64" i="19"/>
  <c r="AP64" i="19"/>
  <c r="AI64" i="19"/>
  <c r="AE64" i="19"/>
  <c r="U64" i="19"/>
  <c r="AH64" i="19"/>
  <c r="R64" i="19"/>
  <c r="X64" i="19" l="1"/>
  <c r="AT64" i="19"/>
  <c r="AU64" i="19" s="1"/>
  <c r="W64" i="19"/>
  <c r="Y64" i="19" s="1"/>
  <c r="I67" i="19"/>
  <c r="I8" i="8" s="1"/>
  <c r="I73" i="19"/>
  <c r="I14" i="8"/>
  <c r="I65" i="19" l="1"/>
  <c r="I71" i="19" s="1"/>
  <c r="I6" i="8" l="1"/>
  <c r="I72" i="19"/>
  <c r="I66" i="19"/>
  <c r="I7" i="8" l="1"/>
  <c r="I68" i="19"/>
  <c r="I9" i="8" s="1"/>
</calcChain>
</file>

<file path=xl/sharedStrings.xml><?xml version="1.0" encoding="utf-8"?>
<sst xmlns="http://schemas.openxmlformats.org/spreadsheetml/2006/main" count="870" uniqueCount="179">
  <si>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</si>
  <si>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</si>
  <si>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Adjust return and standard deviation calculations to reflect addition of new year</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</si>
  <si>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</si>
  <si>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4. Panic Grid</t>
  </si>
  <si>
    <t>Balance Check</t>
    <phoneticPr fontId="11" type="noConversion"/>
  </si>
  <si>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</si>
  <si>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6. Allocations Test - False Values Signal Rebalancing Needed</t>
  </si>
  <si>
    <t>Used for rebalancing the portfolio. Numbers pull from Table 4 unless rebalancing is necessary. If rebalancing is necessary, allocations are adjusted back to targets for all funds. Rebalanced cells are shaded in blue. Balance check should always equal $0.00</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</si>
  <si>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</si>
  <si>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</si>
  <si>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</si>
  <si>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</si>
  <si>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</si>
  <si>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</si>
  <si>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</si>
  <si>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</si>
  <si>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</si>
  <si>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</si>
  <si>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</si>
  <si>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</si>
  <si>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</si>
  <si>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</si>
  <si>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1A</t>
  </si>
  <si>
    <t>CPI Data downloaded from Econostats. Most current data is preliminary; all other is end of year</t>
  </si>
  <si>
    <t>3. Withdrawal Amount</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</si>
  <si>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</si>
  <si>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</si>
  <si>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</si>
  <si>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</si>
  <si>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</si>
  <si>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When a new year of data is added, new rows must be added to all spreadsheets</t>
  </si>
  <si>
    <t>All items shaded in Orange are manually adjusted; all other are based on formulas</t>
  </si>
  <si>
    <t>Rebalancing is done manually; including blue shading of cells</t>
  </si>
  <si>
    <t>Portfolio Strategy</t>
  </si>
  <si>
    <t>Rebalance at 5% Thresholds</t>
  </si>
  <si>
    <t>Total Return</t>
  </si>
  <si>
    <t>Annualized Return</t>
  </si>
  <si>
    <t>Largest Annual Loss</t>
  </si>
  <si>
    <t>Non-Rebalanced Portfolio</t>
  </si>
  <si>
    <t>Final</t>
  </si>
  <si>
    <t>Not Rebalanced</t>
  </si>
  <si>
    <t>CPI</t>
  </si>
  <si>
    <t>Total Withdrawals</t>
  </si>
  <si>
    <t>Return data from Morningstar; available in truncated form in AAII's Mutual Fund Guide</t>
  </si>
  <si>
    <t>CPI  (CPI-U - US city average all urban consumers ) seas adj data used</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</si>
  <si>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</si>
  <si>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</si>
  <si>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</si>
  <si>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Year</t>
  </si>
  <si>
    <t>1. Return Data from Morningstar</t>
  </si>
  <si>
    <t>LC Stocks</t>
  </si>
  <si>
    <t>Ext Mkt</t>
  </si>
  <si>
    <t>Mcap Stk</t>
  </si>
  <si>
    <t>Small Cap</t>
  </si>
  <si>
    <t>VFINX</t>
  </si>
  <si>
    <t>VEXMX</t>
  </si>
  <si>
    <t>VIMSX</t>
  </si>
  <si>
    <t>NAESX</t>
  </si>
  <si>
    <t>Small Cap (NAESX) data available from 1988, but not Mid Cap (VIMSX)</t>
  </si>
  <si>
    <t>Extended Market (VEXMX) has both mid &amp; small-cap stocks; rotated out of it when VIMSX available</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</si>
  <si>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</si>
  <si>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</si>
  <si>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</si>
  <si>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</si>
  <si>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</si>
  <si>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</si>
  <si>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</si>
  <si>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</si>
  <si>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</si>
  <si>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</si>
  <si>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</si>
  <si>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</si>
  <si>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</si>
  <si>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</si>
  <si>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</si>
  <si>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</si>
  <si>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</si>
  <si>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</si>
  <si>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</si>
  <si>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</si>
  <si>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</si>
  <si>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</si>
  <si>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</si>
  <si>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</si>
  <si>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</si>
  <si>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</si>
  <si>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</si>
  <si>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</si>
  <si>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</si>
  <si>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</si>
  <si>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</si>
  <si>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</si>
  <si>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</si>
  <si>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</si>
  <si>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</si>
  <si>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1988 first calendar year with full-year data for VEXMX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</si>
  <si>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</si>
  <si>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</si>
  <si>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</si>
  <si>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</si>
  <si>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</si>
  <si>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</si>
  <si>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</si>
  <si>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</si>
  <si>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</si>
  <si>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Ending Equity Allocation</t>
  </si>
  <si>
    <t>Ending Fixed-Income Allocation</t>
  </si>
  <si>
    <t>Allocation Check</t>
  </si>
  <si>
    <t>Rebalance vs Panic</t>
  </si>
  <si>
    <t>No Change vs Panic</t>
  </si>
  <si>
    <t>Rebalance vs Not Rebalancing</t>
  </si>
  <si>
    <t>Equity</t>
  </si>
  <si>
    <t>Allocation</t>
  </si>
  <si>
    <t>Starting</t>
  </si>
  <si>
    <t>Panic and Sell When S&amp;P 500 Falls &gt; 20%</t>
  </si>
  <si>
    <t>Table 1. Performance of the Three Strategies</t>
  </si>
  <si>
    <t>2. Rebalanced Strategy (5% Triggers) - End of Year Balance</t>
  </si>
  <si>
    <t>4. Rebalanced Strategy - Withdrawal Equal Amounts from All Funds</t>
  </si>
  <si>
    <t>5. Rebalanced Strategy - Annual Allocations</t>
  </si>
  <si>
    <t>7. Rebalanced Strategy (5% Triggers) - Rebalance Grid</t>
  </si>
  <si>
    <t>2. Panic Strategy - End of Year Balance</t>
  </si>
  <si>
    <t>4. Panic Strategy - Withdrawal Equal Amounts from All Funds</t>
  </si>
  <si>
    <t>5. Panic Strategy - Annual Allocations</t>
  </si>
  <si>
    <t>2. Non-Rebalanced Strategy - End of Year Balance</t>
  </si>
  <si>
    <t>4. Non-Rebalanced Strategy - Withdrawal Equal Amounts from All Funds</t>
  </si>
  <si>
    <t>3. Panic Strategy - Annual Allocations</t>
  </si>
  <si>
    <t>3. Allocations prior to Rebalancing</t>
  </si>
  <si>
    <t>No Rebalancing</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</si>
  <si>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</si>
  <si>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Portfolio allocations - per fund dollar amount divided by portfolio's total balance</t>
  </si>
  <si>
    <t>3. Non-Rebalanced Strategy Annual Allocations</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</si>
  <si>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</si>
  <si>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</si>
  <si>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</si>
  <si>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</si>
  <si>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(table 4) times fund return for current year (table 1). 1988 end of year balance based solely on annual fund performance. Manually adjust standard deviation for number of periods</t>
  </si>
  <si>
    <t>Post-withdrawal portfolio allocations - per fund dollar amount divided by portfolio's total balance from Table 4.</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</si>
  <si>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</si>
  <si>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5. Non-Rebalanced Strategy - Annual Allocations</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</si>
  <si>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</si>
  <si>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</si>
  <si>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https://research.stlouisfed.org/fred2/series/CPIAUCSL</t>
  </si>
  <si>
    <t>Panic and Selll When S&amp;P 500 Falls +20%</t>
  </si>
  <si>
    <t>CPI Data from Econostats thru 2013, data from FRED for 2014 forward used</t>
  </si>
  <si>
    <t>1A. CPI Data</t>
  </si>
  <si>
    <t>Reduction in Volatility:</t>
  </si>
  <si>
    <t>Difference in Returns:</t>
  </si>
  <si>
    <t>Withdrawal Check</t>
  </si>
  <si>
    <t>Gain/Loss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</si>
  <si>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</si>
  <si>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</si>
  <si>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</si>
  <si>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Periods</t>
  </si>
  <si>
    <t>Rebalance vs No Rebalancing</t>
  </si>
  <si>
    <t>Rebalancing Annually</t>
  </si>
  <si>
    <t>7. Annual Rebalance - Rebalance Grid</t>
  </si>
  <si>
    <t>2. Annual Rebalance (5% Triggers) - End of Year Balance</t>
  </si>
  <si>
    <t>4. Annual Rebalance - Withdrawal Equal Amounts from All Funds</t>
  </si>
  <si>
    <t>5. Annual Rebalance - Annual Allocations</t>
  </si>
  <si>
    <t>Number of Years</t>
  </si>
  <si>
    <t>Times Rebalanced</t>
  </si>
  <si>
    <t>Total Years</t>
  </si>
  <si>
    <t>Average Years between Rebalancing</t>
  </si>
  <si>
    <t>4. Non-Rebalanced Strategy - Withdrawal Annually</t>
  </si>
  <si>
    <t>4.5% &amp; 4% Withdrawals-No Rebalancing</t>
  </si>
  <si>
    <t>4.5% and 4% Withdrawals-Rebalancing</t>
  </si>
  <si>
    <t>Withdrawal amount starts at 4.5% (4%) of year-end 1988 balance. Initial amount is adjusted upwards annually based on change in CPI using data in Table 1A</t>
  </si>
  <si>
    <t>Withdrawal amount starts at 4.5% (4%) of year-end 1988 balance. Initial amount is adjusted upwards annually based on change in CPI using data in Table 1A.</t>
  </si>
  <si>
    <t>4.5% and 4% Withdrawals-Panic</t>
  </si>
  <si>
    <t>CPI Data pulled from 4.5% Withdrawals - No Rebalancing tab.</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</si>
  <si>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</si>
  <si>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</si>
  <si>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</si>
  <si>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</si>
  <si>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</si>
  <si>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4. Annual Rebalance - Withdrawal Proportionately from both Funds</t>
  </si>
  <si>
    <t>4.5% Withdrawal Portfolio Results (1993 - 2017)</t>
  </si>
  <si>
    <t>Non-Withdrawal Portfolio Results (1993 - 2017)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</si>
</sst>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87">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164" fontId="0" fillId="9"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0" fontId="0" fillId="0" borderId="0" xfId="1" applyNumberFormat="1" applyFont="1"/>
    <xf numFmtId="10" fontId="5" fillId="0" borderId="0" xfId="0" applyNumberFormat="1" applyFont="1"/>
    <xf numFmtId="0" fontId="0" fillId="0" borderId="1" xfId="0" applyFill="1" applyBorder="1" applyAlignment="1">
      <alignment horizontal="right"/>
    </xf>
    <xf numFmtId="0" fontId="5" fillId="4" borderId="0" xfId="0" applyFont="1" applyFill="1"/>
    <xf numFmtId="164" fontId="0" fillId="7" borderId="0" xfId="1" applyNumberFormat="1" applyFont="1" applyFill="1"/>
    <xf numFmtId="6" fontId="0" fillId="0" borderId="0" xfId="0" applyNumberFormat="1" applyFill="1" applyAlignment="1">
      <alignment horizontal="right"/>
    </xf>
    <xf numFmtId="9" fontId="0" fillId="0" borderId="0" xfId="1" applyFon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Staying</a:t>
            </a:r>
            <a:r>
              <a:rPr lang="en-US" baseline="0"/>
              <a:t> Invested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marker>
            <c:symbol val="none"/>
          </c:marker>
          <c:cat>
            <c:strRef>
              <c:f>'Chart Data'!$A$2:$A$31</c:f>
              <c:strCache>
                <c:ptCount val="30"/>
                <c:pt idx="0">
                  <c:v>Starting</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#REF!</c:v>
                </c:pt>
                <c:pt idx="27">
                  <c:v>#REF!</c:v>
                </c:pt>
                <c:pt idx="28">
                  <c:v>#REF!</c:v>
                </c:pt>
                <c:pt idx="29">
                  <c:v>#REF!</c:v>
                </c:pt>
              </c:strCache>
            </c:strRef>
          </c:cat>
          <c:val>
            <c:numRef>
              <c:f>'Chart Data'!$B$2:$B$31</c:f>
              <c:numCache>
                <c:formatCode>"$"#,##0_);[Red]\("$"#,##0\)</c:formatCode>
                <c:ptCount val="30"/>
                <c:pt idx="0">
                  <c:v>100000</c:v>
                </c:pt>
                <c:pt idx="1">
                  <c:v>115327.8</c:v>
                </c:pt>
                <c:pt idx="2">
                  <c:v>115477.50486</c:v>
                </c:pt>
                <c:pt idx="3">
                  <c:v>143681.48656620481</c:v>
                </c:pt>
                <c:pt idx="4">
                  <c:v>163074.53552483415</c:v>
                </c:pt>
                <c:pt idx="5">
                  <c:v>191573.60442768969</c:v>
                </c:pt>
                <c:pt idx="6">
                  <c:v>218883.18472873222</c:v>
                </c:pt>
                <c:pt idx="7">
                  <c:v>240705.40047981736</c:v>
                </c:pt>
                <c:pt idx="8">
                  <c:v>249063.38754226797</c:v>
                </c:pt>
                <c:pt idx="9">
                  <c:v>240159.51982622256</c:v>
                </c:pt>
                <c:pt idx="10">
                  <c:v>218387.85647262356</c:v>
                </c:pt>
                <c:pt idx="11">
                  <c:v>275933.49342887284</c:v>
                </c:pt>
                <c:pt idx="12">
                  <c:v>313592.06881156511</c:v>
                </c:pt>
                <c:pt idx="13">
                  <c:v>340650.57723266579</c:v>
                </c:pt>
                <c:pt idx="14">
                  <c:v>390816.75277617073</c:v>
                </c:pt>
                <c:pt idx="15">
                  <c:v>420433.62793505454</c:v>
                </c:pt>
                <c:pt idx="16">
                  <c:v>307528.03368118167</c:v>
                </c:pt>
                <c:pt idx="17">
                  <c:v>387724.57924849284</c:v>
                </c:pt>
                <c:pt idx="18">
                  <c:v>448510.70446813793</c:v>
                </c:pt>
                <c:pt idx="19">
                  <c:v>444240.88256160135</c:v>
                </c:pt>
                <c:pt idx="20">
                  <c:v>500213.94205353421</c:v>
                </c:pt>
                <c:pt idx="21">
                  <c:v>599468.28417644533</c:v>
                </c:pt>
                <c:pt idx="22">
                  <c:v>641664.85669962538</c:v>
                </c:pt>
                <c:pt idx="23">
                  <c:v>634497.88964942249</c:v>
                </c:pt>
                <c:pt idx="24">
                  <c:v>686769.72716766747</c:v>
                </c:pt>
                <c:pt idx="25">
                  <c:v>799406.61866003159</c:v>
                </c:pt>
                <c:pt idx="26">
                  <c:v>0</c:v>
                </c:pt>
                <c:pt idx="27">
                  <c:v>0</c:v>
                </c:pt>
                <c:pt idx="28">
                  <c:v>0</c:v>
                </c:pt>
                <c:pt idx="29">
                  <c:v>0</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marker>
            <c:symbol val="none"/>
          </c:marker>
          <c:cat>
            <c:strRef>
              <c:f>'Chart Data'!$A$2:$A$31</c:f>
              <c:strCache>
                <c:ptCount val="30"/>
                <c:pt idx="0">
                  <c:v>Starting</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#REF!</c:v>
                </c:pt>
                <c:pt idx="27">
                  <c:v>#REF!</c:v>
                </c:pt>
                <c:pt idx="28">
                  <c:v>#REF!</c:v>
                </c:pt>
                <c:pt idx="29">
                  <c:v>#REF!</c:v>
                </c:pt>
              </c:strCache>
            </c:strRef>
          </c:cat>
          <c:val>
            <c:numRef>
              <c:f>'Chart Data'!$C$2:$C$31</c:f>
              <c:numCache>
                <c:formatCode>"$"#,##0_);[Red]\("$"#,##0\)</c:formatCode>
                <c:ptCount val="30"/>
                <c:pt idx="0">
                  <c:v>100000</c:v>
                </c:pt>
                <c:pt idx="1">
                  <c:v>115327.8</c:v>
                </c:pt>
                <c:pt idx="2">
                  <c:v>115477.50486</c:v>
                </c:pt>
                <c:pt idx="3">
                  <c:v>143681.48656620481</c:v>
                </c:pt>
                <c:pt idx="4">
                  <c:v>163074.53552483415</c:v>
                </c:pt>
                <c:pt idx="5">
                  <c:v>193157.8475776618</c:v>
                </c:pt>
                <c:pt idx="6">
                  <c:v>221936.34881344455</c:v>
                </c:pt>
                <c:pt idx="7">
                  <c:v>259584.80899175556</c:v>
                </c:pt>
                <c:pt idx="8">
                  <c:v>259471.42817783021</c:v>
                </c:pt>
                <c:pt idx="9">
                  <c:v>247443.59534768606</c:v>
                </c:pt>
                <c:pt idx="10">
                  <c:v>217597.30838049023</c:v>
                </c:pt>
                <c:pt idx="11">
                  <c:v>275395.81223028904</c:v>
                </c:pt>
                <c:pt idx="12">
                  <c:v>315358.14985774312</c:v>
                </c:pt>
                <c:pt idx="13">
                  <c:v>343468.94239179924</c:v>
                </c:pt>
                <c:pt idx="14">
                  <c:v>393543.15183764946</c:v>
                </c:pt>
                <c:pt idx="15">
                  <c:v>421506.5529400268</c:v>
                </c:pt>
                <c:pt idx="16">
                  <c:v>285665.95766561961</c:v>
                </c:pt>
                <c:pt idx="17">
                  <c:v>363037.48326962319</c:v>
                </c:pt>
                <c:pt idx="18">
                  <c:v>424337.08544169768</c:v>
                </c:pt>
                <c:pt idx="19">
                  <c:v>418261.35762399988</c:v>
                </c:pt>
                <c:pt idx="20">
                  <c:v>475808.07356279407</c:v>
                </c:pt>
                <c:pt idx="21">
                  <c:v>590569.13507869025</c:v>
                </c:pt>
                <c:pt idx="22">
                  <c:v>643196.16221421061</c:v>
                </c:pt>
                <c:pt idx="23">
                  <c:v>634975.74100044963</c:v>
                </c:pt>
                <c:pt idx="24">
                  <c:v>699551.96273716958</c:v>
                </c:pt>
                <c:pt idx="25">
                  <c:v>825085.59048429294</c:v>
                </c:pt>
                <c:pt idx="26">
                  <c:v>0</c:v>
                </c:pt>
                <c:pt idx="27">
                  <c:v>0</c:v>
                </c:pt>
                <c:pt idx="28">
                  <c:v>0</c:v>
                </c:pt>
                <c:pt idx="29">
                  <c:v>0</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marker>
            <c:symbol val="none"/>
          </c:marker>
          <c:cat>
            <c:strRef>
              <c:f>'Chart Data'!$A$2:$A$31</c:f>
              <c:strCache>
                <c:ptCount val="30"/>
                <c:pt idx="0">
                  <c:v>Starting</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#REF!</c:v>
                </c:pt>
                <c:pt idx="27">
                  <c:v>#REF!</c:v>
                </c:pt>
                <c:pt idx="28">
                  <c:v>#REF!</c:v>
                </c:pt>
                <c:pt idx="29">
                  <c:v>#REF!</c:v>
                </c:pt>
              </c:strCache>
            </c:strRef>
          </c:cat>
          <c:val>
            <c:numRef>
              <c:f>'Chart Data'!$D$2:$D$31</c:f>
              <c:numCache>
                <c:formatCode>"$"#,##0_);[Red]\("$"#,##0\)</c:formatCode>
                <c:ptCount val="30"/>
                <c:pt idx="0">
                  <c:v>100000</c:v>
                </c:pt>
                <c:pt idx="1">
                  <c:v>115327.8</c:v>
                </c:pt>
                <c:pt idx="2">
                  <c:v>115477.50486</c:v>
                </c:pt>
                <c:pt idx="3">
                  <c:v>143681.48656620481</c:v>
                </c:pt>
                <c:pt idx="4">
                  <c:v>163074.53552483415</c:v>
                </c:pt>
                <c:pt idx="5">
                  <c:v>193415.13244111885</c:v>
                </c:pt>
                <c:pt idx="6">
                  <c:v>222233.77783414681</c:v>
                </c:pt>
                <c:pt idx="7">
                  <c:v>246922.89409109595</c:v>
                </c:pt>
                <c:pt idx="8">
                  <c:v>245543.25961722041</c:v>
                </c:pt>
                <c:pt idx="9">
                  <c:v>233325.87532975138</c:v>
                </c:pt>
                <c:pt idx="10">
                  <c:v>205843.04711126536</c:v>
                </c:pt>
                <c:pt idx="11">
                  <c:v>214015.01608158261</c:v>
                </c:pt>
                <c:pt idx="12">
                  <c:v>243223.14343134878</c:v>
                </c:pt>
                <c:pt idx="13">
                  <c:v>264209.82048502885</c:v>
                </c:pt>
                <c:pt idx="14">
                  <c:v>303118.88778338564</c:v>
                </c:pt>
                <c:pt idx="15">
                  <c:v>327291.68508804281</c:v>
                </c:pt>
                <c:pt idx="16">
                  <c:v>228989.89602566432</c:v>
                </c:pt>
                <c:pt idx="17">
                  <c:v>242568.99685998619</c:v>
                </c:pt>
                <c:pt idx="18">
                  <c:v>278944.64362910972</c:v>
                </c:pt>
                <c:pt idx="19">
                  <c:v>275896.71421435068</c:v>
                </c:pt>
                <c:pt idx="20">
                  <c:v>311464.67118613946</c:v>
                </c:pt>
                <c:pt idx="21">
                  <c:v>376397.27483876242</c:v>
                </c:pt>
                <c:pt idx="22">
                  <c:v>406652.36070909887</c:v>
                </c:pt>
                <c:pt idx="23">
                  <c:v>402006.11547885067</c:v>
                </c:pt>
                <c:pt idx="24">
                  <c:v>439465.25607895426</c:v>
                </c:pt>
                <c:pt idx="25">
                  <c:v>515638.51384934224</c:v>
                </c:pt>
                <c:pt idx="26">
                  <c:v>0</c:v>
                </c:pt>
                <c:pt idx="27">
                  <c:v>0</c:v>
                </c:pt>
                <c:pt idx="28">
                  <c:v>0</c:v>
                </c:pt>
                <c:pt idx="29">
                  <c:v>0</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crossAx val="182273624"/>
        <c:crosses val="autoZero"/>
        <c:crossBetween val="between"/>
        <c:majorUnit val="100000"/>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799406.61866003159</c:v>
                </c:pt>
                <c:pt idx="1">
                  <c:v>515638.51384934224</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6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7750" cy="6292453"/>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opLeftCell="A71" workbookViewId="0">
      <selection activeCell="A80" sqref="A80"/>
    </sheetView>
  </sheetViews>
  <sheetFormatPr defaultColWidth="8.85546875" defaultRowHeight="15" x14ac:dyDescent="0.25"/>
  <cols>
    <col min="2" max="2" width="84.140625" style="8" customWidth="1"/>
    <col min="4" max="4" width="60.42578125" customWidth="1"/>
  </cols>
  <sheetData>
    <row r="1" spans="1:4" x14ac:dyDescent="0.25">
      <c r="A1" s="20" t="s">
        <v>92</v>
      </c>
    </row>
    <row r="3" spans="1:4" x14ac:dyDescent="0.25">
      <c r="A3" s="53" t="s">
        <v>30</v>
      </c>
    </row>
    <row r="4" spans="1:4" x14ac:dyDescent="0.25">
      <c r="A4" t="s">
        <v>31</v>
      </c>
    </row>
    <row r="5" spans="1:4" x14ac:dyDescent="0.25">
      <c r="A5" t="s">
        <v>2</v>
      </c>
    </row>
    <row r="6" spans="1:4" x14ac:dyDescent="0.25">
      <c r="A6" t="s">
        <v>32</v>
      </c>
    </row>
    <row r="7" spans="1:4" x14ac:dyDescent="0.25">
      <c r="A7" t="s">
        <v>33</v>
      </c>
    </row>
    <row r="8" spans="1:4" x14ac:dyDescent="0.25">
      <c r="A8" t="s">
        <v>47</v>
      </c>
    </row>
    <row r="9" spans="1:4" x14ac:dyDescent="0.25">
      <c r="A9" t="s">
        <v>48</v>
      </c>
    </row>
    <row r="10" spans="1:4" x14ac:dyDescent="0.25">
      <c r="A10" t="s">
        <v>15</v>
      </c>
    </row>
    <row r="11" spans="1:4" x14ac:dyDescent="0.25">
      <c r="A11" t="s">
        <v>16</v>
      </c>
    </row>
    <row r="14" spans="1:4" x14ac:dyDescent="0.25">
      <c r="A14" s="54" t="s">
        <v>39</v>
      </c>
    </row>
    <row r="15" spans="1:4" x14ac:dyDescent="0.25">
      <c r="A15" s="34" t="s">
        <v>90</v>
      </c>
    </row>
    <row r="16" spans="1:4" ht="30" x14ac:dyDescent="0.25">
      <c r="A16" s="34">
        <v>1</v>
      </c>
      <c r="B16" s="8" t="s">
        <v>93</v>
      </c>
      <c r="C16" s="34"/>
      <c r="D16" s="8"/>
    </row>
    <row r="17" spans="1:4" ht="30" x14ac:dyDescent="0.25">
      <c r="A17" s="34">
        <v>2</v>
      </c>
      <c r="B17" s="8" t="s">
        <v>14</v>
      </c>
      <c r="C17" s="34"/>
      <c r="D17" s="8"/>
    </row>
    <row r="18" spans="1:4" x14ac:dyDescent="0.25">
      <c r="A18" s="34">
        <v>3</v>
      </c>
      <c r="B18" s="8" t="s">
        <v>130</v>
      </c>
      <c r="C18" s="34"/>
      <c r="D18" s="8"/>
    </row>
    <row r="19" spans="1:4" x14ac:dyDescent="0.25">
      <c r="A19" s="34"/>
    </row>
    <row r="20" spans="1:4" x14ac:dyDescent="0.25">
      <c r="A20" s="34"/>
    </row>
    <row r="21" spans="1:4" x14ac:dyDescent="0.25">
      <c r="A21" s="55" t="s">
        <v>17</v>
      </c>
    </row>
    <row r="22" spans="1:4" x14ac:dyDescent="0.25">
      <c r="A22" s="34" t="s">
        <v>90</v>
      </c>
    </row>
    <row r="23" spans="1:4" x14ac:dyDescent="0.25">
      <c r="A23" s="34">
        <v>1</v>
      </c>
      <c r="B23" s="8" t="s">
        <v>132</v>
      </c>
      <c r="C23" s="34"/>
      <c r="D23" s="8"/>
    </row>
    <row r="24" spans="1:4" ht="45" x14ac:dyDescent="0.25">
      <c r="A24" s="34">
        <v>2</v>
      </c>
      <c r="B24" s="8" t="s">
        <v>133</v>
      </c>
      <c r="C24" s="34"/>
      <c r="D24" s="8"/>
    </row>
    <row r="25" spans="1:4" ht="60" x14ac:dyDescent="0.25">
      <c r="A25" s="34">
        <v>3</v>
      </c>
      <c r="B25" s="8" t="s">
        <v>129</v>
      </c>
      <c r="C25" s="34"/>
      <c r="D25" s="8"/>
    </row>
    <row r="26" spans="1:4" ht="30" x14ac:dyDescent="0.25">
      <c r="A26" s="34">
        <v>4</v>
      </c>
      <c r="B26" s="8" t="s">
        <v>19</v>
      </c>
      <c r="C26" s="34"/>
      <c r="D26" s="8"/>
    </row>
    <row r="27" spans="1:4" ht="45" x14ac:dyDescent="0.25">
      <c r="A27" s="34">
        <v>5</v>
      </c>
      <c r="B27" s="8" t="s">
        <v>20</v>
      </c>
      <c r="C27" s="34"/>
      <c r="D27" s="8"/>
    </row>
    <row r="28" spans="1:4" x14ac:dyDescent="0.25">
      <c r="A28" s="34"/>
    </row>
    <row r="29" spans="1:4" x14ac:dyDescent="0.25">
      <c r="A29" s="34"/>
    </row>
    <row r="30" spans="1:4" x14ac:dyDescent="0.25">
      <c r="A30" s="34"/>
    </row>
    <row r="31" spans="1:4" x14ac:dyDescent="0.25">
      <c r="A31" s="55" t="s">
        <v>22</v>
      </c>
    </row>
    <row r="32" spans="1:4" x14ac:dyDescent="0.25">
      <c r="A32" s="34" t="s">
        <v>90</v>
      </c>
    </row>
    <row r="33" spans="1:4" x14ac:dyDescent="0.25">
      <c r="A33" s="34">
        <v>1</v>
      </c>
      <c r="B33" s="8" t="s">
        <v>132</v>
      </c>
      <c r="C33" s="34"/>
      <c r="D33" s="8"/>
    </row>
    <row r="34" spans="1:4" ht="45" x14ac:dyDescent="0.25">
      <c r="A34" s="34">
        <v>2</v>
      </c>
      <c r="B34" s="8" t="s">
        <v>136</v>
      </c>
      <c r="C34" s="34"/>
      <c r="D34" s="8"/>
    </row>
    <row r="35" spans="1:4" ht="60" x14ac:dyDescent="0.25">
      <c r="A35" s="34">
        <v>3</v>
      </c>
      <c r="B35" s="8" t="s">
        <v>134</v>
      </c>
      <c r="C35" s="34"/>
      <c r="D35" s="8"/>
    </row>
    <row r="36" spans="1:4" ht="60" x14ac:dyDescent="0.25">
      <c r="A36" s="34">
        <v>4</v>
      </c>
      <c r="B36" s="8" t="s">
        <v>135</v>
      </c>
      <c r="C36" s="34"/>
      <c r="D36" s="8"/>
    </row>
    <row r="37" spans="1:4" x14ac:dyDescent="0.25">
      <c r="A37" s="34"/>
    </row>
    <row r="38" spans="1:4" x14ac:dyDescent="0.25">
      <c r="A38" s="34"/>
    </row>
    <row r="39" spans="1:4" x14ac:dyDescent="0.25">
      <c r="A39" s="55" t="s">
        <v>165</v>
      </c>
    </row>
    <row r="40" spans="1:4" x14ac:dyDescent="0.25">
      <c r="A40" s="34" t="s">
        <v>90</v>
      </c>
    </row>
    <row r="41" spans="1:4" x14ac:dyDescent="0.25">
      <c r="A41" s="34">
        <v>1</v>
      </c>
      <c r="B41" s="8" t="s">
        <v>132</v>
      </c>
      <c r="C41" s="34"/>
      <c r="D41" s="8"/>
    </row>
    <row r="42" spans="1:4" ht="30" x14ac:dyDescent="0.25">
      <c r="A42" s="34" t="s">
        <v>23</v>
      </c>
      <c r="B42" s="8" t="s">
        <v>24</v>
      </c>
      <c r="C42" s="34"/>
      <c r="D42" s="8"/>
    </row>
    <row r="43" spans="1:4" ht="75" x14ac:dyDescent="0.25">
      <c r="A43" s="34">
        <v>2</v>
      </c>
      <c r="B43" s="8" t="s">
        <v>138</v>
      </c>
      <c r="C43" s="34"/>
      <c r="D43" s="8"/>
    </row>
    <row r="44" spans="1:4" ht="30" x14ac:dyDescent="0.25">
      <c r="A44" s="34">
        <v>3</v>
      </c>
      <c r="B44" s="8" t="s">
        <v>167</v>
      </c>
      <c r="C44" s="34"/>
      <c r="D44" s="8"/>
    </row>
    <row r="45" spans="1:4" ht="60" x14ac:dyDescent="0.25">
      <c r="A45" s="34">
        <v>4</v>
      </c>
      <c r="B45" s="8" t="s">
        <v>3</v>
      </c>
      <c r="C45" s="34"/>
      <c r="D45" s="8"/>
    </row>
    <row r="46" spans="1:4" ht="30" x14ac:dyDescent="0.25">
      <c r="A46" s="34">
        <v>5</v>
      </c>
      <c r="B46" s="8" t="s">
        <v>137</v>
      </c>
      <c r="C46" s="34"/>
      <c r="D46" s="8"/>
    </row>
    <row r="47" spans="1:4" x14ac:dyDescent="0.25">
      <c r="A47" s="34"/>
    </row>
    <row r="48" spans="1:4" x14ac:dyDescent="0.25">
      <c r="A48" s="34"/>
    </row>
    <row r="49" spans="1:4" x14ac:dyDescent="0.25">
      <c r="A49" s="55" t="s">
        <v>166</v>
      </c>
    </row>
    <row r="50" spans="1:4" x14ac:dyDescent="0.25">
      <c r="A50" s="34" t="s">
        <v>90</v>
      </c>
    </row>
    <row r="51" spans="1:4" x14ac:dyDescent="0.25">
      <c r="A51" s="34">
        <v>1</v>
      </c>
      <c r="B51" s="8" t="s">
        <v>132</v>
      </c>
      <c r="C51" s="34"/>
      <c r="D51" s="8"/>
    </row>
    <row r="52" spans="1:4" x14ac:dyDescent="0.25">
      <c r="A52" s="34" t="s">
        <v>23</v>
      </c>
      <c r="B52" s="8" t="s">
        <v>170</v>
      </c>
      <c r="C52" s="34"/>
      <c r="D52" s="8"/>
    </row>
    <row r="53" spans="1:4" ht="90" x14ac:dyDescent="0.25">
      <c r="A53" s="34">
        <v>2</v>
      </c>
      <c r="B53" s="8" t="s">
        <v>140</v>
      </c>
      <c r="C53" s="34"/>
      <c r="D53" s="8"/>
    </row>
    <row r="54" spans="1:4" ht="30" x14ac:dyDescent="0.25">
      <c r="A54" s="34">
        <v>3</v>
      </c>
      <c r="B54" s="8" t="s">
        <v>168</v>
      </c>
      <c r="C54" s="34"/>
      <c r="D54" s="8"/>
    </row>
    <row r="55" spans="1:4" ht="60" x14ac:dyDescent="0.25">
      <c r="A55" s="34">
        <v>4</v>
      </c>
      <c r="B55" s="8" t="s">
        <v>3</v>
      </c>
      <c r="C55" s="34"/>
      <c r="D55" s="8"/>
    </row>
    <row r="56" spans="1:4" ht="60" x14ac:dyDescent="0.25">
      <c r="A56" s="34">
        <v>5</v>
      </c>
      <c r="B56" s="8" t="s">
        <v>6</v>
      </c>
      <c r="C56" s="34"/>
      <c r="D56" s="8"/>
    </row>
    <row r="57" spans="1:4" ht="30" x14ac:dyDescent="0.25">
      <c r="A57" s="34">
        <v>6</v>
      </c>
      <c r="B57" s="8" t="s">
        <v>19</v>
      </c>
      <c r="C57" s="34"/>
      <c r="D57" s="8"/>
    </row>
    <row r="58" spans="1:4" ht="45" x14ac:dyDescent="0.25">
      <c r="A58" s="34">
        <v>7</v>
      </c>
      <c r="B58" s="8" t="s">
        <v>8</v>
      </c>
      <c r="C58" s="34"/>
      <c r="D58" s="8"/>
    </row>
    <row r="61" spans="1:4" x14ac:dyDescent="0.25">
      <c r="A61" s="37" t="s">
        <v>169</v>
      </c>
    </row>
    <row r="62" spans="1:4" x14ac:dyDescent="0.25">
      <c r="A62" s="34" t="s">
        <v>90</v>
      </c>
    </row>
    <row r="63" spans="1:4" x14ac:dyDescent="0.25">
      <c r="A63" s="34">
        <v>1</v>
      </c>
      <c r="B63" s="8" t="s">
        <v>132</v>
      </c>
      <c r="C63" s="34"/>
      <c r="D63" s="8"/>
    </row>
    <row r="64" spans="1:4" x14ac:dyDescent="0.25">
      <c r="A64" s="34" t="s">
        <v>23</v>
      </c>
      <c r="B64" s="8" t="s">
        <v>170</v>
      </c>
      <c r="C64" s="34"/>
      <c r="D64" s="8"/>
    </row>
    <row r="65" spans="1:4" ht="90" x14ac:dyDescent="0.25">
      <c r="A65" s="34">
        <v>2</v>
      </c>
      <c r="B65" s="8" t="s">
        <v>141</v>
      </c>
      <c r="C65" s="34"/>
      <c r="D65" s="8"/>
    </row>
    <row r="66" spans="1:4" ht="30" x14ac:dyDescent="0.25">
      <c r="A66" s="34">
        <v>3</v>
      </c>
      <c r="B66" s="8" t="s">
        <v>168</v>
      </c>
      <c r="C66" s="34"/>
      <c r="D66" s="8"/>
    </row>
    <row r="67" spans="1:4" ht="60" x14ac:dyDescent="0.25">
      <c r="A67" s="34">
        <v>4</v>
      </c>
      <c r="B67" s="8" t="s">
        <v>0</v>
      </c>
      <c r="C67" s="34"/>
      <c r="D67" s="8"/>
    </row>
    <row r="68" spans="1:4" x14ac:dyDescent="0.25">
      <c r="A68" s="34">
        <v>5</v>
      </c>
      <c r="B68" s="8" t="s">
        <v>1</v>
      </c>
      <c r="C68" s="34"/>
      <c r="D68" s="8"/>
    </row>
    <row r="69" spans="1:4" ht="60" x14ac:dyDescent="0.25">
      <c r="A69" s="34">
        <v>6</v>
      </c>
      <c r="B69" s="8" t="s">
        <v>10</v>
      </c>
      <c r="C69" s="34"/>
      <c r="D69" s="8"/>
    </row>
    <row r="70" spans="1:4" x14ac:dyDescent="0.25">
      <c r="C70" s="34"/>
      <c r="D70" s="8"/>
    </row>
    <row r="72" spans="1:4" x14ac:dyDescent="0.25">
      <c r="A72" s="37" t="s">
        <v>171</v>
      </c>
    </row>
    <row r="73" spans="1:4" x14ac:dyDescent="0.25">
      <c r="A73" s="34" t="s">
        <v>90</v>
      </c>
    </row>
    <row r="74" spans="1:4" x14ac:dyDescent="0.25">
      <c r="A74" s="34">
        <v>1</v>
      </c>
      <c r="B74" s="8" t="s">
        <v>132</v>
      </c>
    </row>
    <row r="75" spans="1:4" x14ac:dyDescent="0.25">
      <c r="A75" s="34" t="s">
        <v>23</v>
      </c>
      <c r="B75" s="8" t="s">
        <v>170</v>
      </c>
    </row>
    <row r="76" spans="1:4" ht="90" x14ac:dyDescent="0.25">
      <c r="A76" s="34">
        <v>2</v>
      </c>
      <c r="B76" s="8" t="s">
        <v>172</v>
      </c>
    </row>
    <row r="77" spans="1:4" ht="30" x14ac:dyDescent="0.25">
      <c r="A77" s="34">
        <v>3</v>
      </c>
      <c r="B77" s="8" t="s">
        <v>173</v>
      </c>
    </row>
    <row r="78" spans="1:4" ht="45" x14ac:dyDescent="0.25">
      <c r="A78" s="34">
        <v>4</v>
      </c>
      <c r="B78" s="8" t="s">
        <v>174</v>
      </c>
    </row>
    <row r="79" spans="1:4" x14ac:dyDescent="0.25">
      <c r="A79" s="34">
        <v>5</v>
      </c>
      <c r="B79" s="8" t="s">
        <v>1</v>
      </c>
    </row>
    <row r="80" spans="1:4" x14ac:dyDescent="0.25">
      <c r="A80" s="34">
        <v>6</v>
      </c>
      <c r="B80" s="8" t="s">
        <v>175</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69AE-11F4-4903-A8C0-2E489A28186E}">
  <dimension ref="A1:AP79"/>
  <sheetViews>
    <sheetView topLeftCell="A61" zoomScaleNormal="100" workbookViewId="0">
      <selection activeCell="I76" sqref="A76:I78"/>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5" t="s">
        <v>49</v>
      </c>
      <c r="O3" s="45" t="s">
        <v>42</v>
      </c>
      <c r="P3" s="44"/>
    </row>
    <row r="4" spans="1:16"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c r="N4" s="45">
        <v>1993</v>
      </c>
      <c r="O4" s="46">
        <v>0.03</v>
      </c>
      <c r="P4" s="44"/>
    </row>
    <row r="5" spans="1:16"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c r="N5" s="45">
        <v>1994</v>
      </c>
      <c r="O5" s="46">
        <v>2.8000000000000001E-2</v>
      </c>
      <c r="P5" s="44"/>
    </row>
    <row r="6" spans="1:16"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c r="N6" s="45">
        <v>1995</v>
      </c>
      <c r="O6" s="46">
        <v>2.5999999999999999E-2</v>
      </c>
      <c r="P6" s="44"/>
    </row>
    <row r="7" spans="1:16"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c r="N7" s="45">
        <v>1996</v>
      </c>
      <c r="O7" s="46">
        <v>2.5000000000000001E-2</v>
      </c>
      <c r="P7" s="44"/>
    </row>
    <row r="8" spans="1:16" x14ac:dyDescent="0.25">
      <c r="A8" s="17">
        <f>'Non-Rebalanced Portfolio'!A8</f>
        <v>1997</v>
      </c>
      <c r="B8" s="17">
        <f>'Non-Rebalanced Portfolio'!B8</f>
        <v>33.19</v>
      </c>
      <c r="C8" s="17">
        <f>'Non-Rebalanced Portfolio'!C8</f>
        <v>26.687000000000001</v>
      </c>
      <c r="D8" s="17"/>
      <c r="E8" s="17"/>
      <c r="F8" s="17"/>
      <c r="G8" s="18">
        <f>'Non-Rebalanced Portfolio'!G8</f>
        <v>-0.77500000000000002</v>
      </c>
      <c r="H8" s="17">
        <f>'Non-Rebalanced Portfolio'!H8</f>
        <v>9.44</v>
      </c>
      <c r="N8" s="45">
        <v>1997</v>
      </c>
      <c r="O8" s="46">
        <v>3.4000000000000002E-2</v>
      </c>
      <c r="P8" s="44"/>
    </row>
    <row r="9" spans="1:16" x14ac:dyDescent="0.25">
      <c r="A9" s="17">
        <f>'Non-Rebalanced Portfolio'!A9</f>
        <v>1998</v>
      </c>
      <c r="B9" s="17">
        <f>'Non-Rebalanced Portfolio'!B9</f>
        <v>28.66</v>
      </c>
      <c r="C9" s="17">
        <f>'Non-Rebalanced Portfolio'!C9</f>
        <v>8.3529999999999998</v>
      </c>
      <c r="D9" s="17"/>
      <c r="E9" s="17"/>
      <c r="F9" s="17"/>
      <c r="G9" s="18">
        <f>'Non-Rebalanced Portfolio'!G9</f>
        <v>15.603</v>
      </c>
      <c r="H9" s="17">
        <f>'Non-Rebalanced Portfolio'!H9</f>
        <v>8.58</v>
      </c>
      <c r="N9" s="45">
        <v>1998</v>
      </c>
      <c r="O9" s="46">
        <v>1.7000000000000001E-2</v>
      </c>
      <c r="P9" s="44"/>
    </row>
    <row r="10" spans="1:16" x14ac:dyDescent="0.25">
      <c r="A10" s="17">
        <f>'Non-Rebalanced Portfolio'!A10</f>
        <v>1999</v>
      </c>
      <c r="B10" s="17">
        <f>'Non-Rebalanced Portfolio'!B10</f>
        <v>21.07</v>
      </c>
      <c r="C10" s="17"/>
      <c r="D10" s="17">
        <f>'Non-Rebalanced Portfolio'!D10</f>
        <v>15.319000000000001</v>
      </c>
      <c r="E10" s="17">
        <f>'Non-Rebalanced Portfolio'!E10</f>
        <v>23.132999999999999</v>
      </c>
      <c r="F10" s="17"/>
      <c r="G10" s="18">
        <f>'Non-Rebalanced Portfolio'!G10</f>
        <v>29.919</v>
      </c>
      <c r="H10" s="17">
        <f>'Non-Rebalanced Portfolio'!H10</f>
        <v>-0.76</v>
      </c>
      <c r="N10" s="45">
        <v>1999</v>
      </c>
      <c r="O10" s="46">
        <v>1.6E-2</v>
      </c>
      <c r="P10" s="44"/>
    </row>
    <row r="11" spans="1:16" x14ac:dyDescent="0.25">
      <c r="A11" s="17">
        <f>'Non-Rebalanced Portfolio'!A11</f>
        <v>2000</v>
      </c>
      <c r="B11" s="17">
        <f>'Non-Rebalanced Portfolio'!B11</f>
        <v>-9.06</v>
      </c>
      <c r="C11" s="17"/>
      <c r="D11" s="17">
        <f>'Non-Rebalanced Portfolio'!D11</f>
        <v>18.097999999999999</v>
      </c>
      <c r="E11" s="17">
        <f>'Non-Rebalanced Portfolio'!E11</f>
        <v>-2.665</v>
      </c>
      <c r="F11" s="17"/>
      <c r="G11" s="17">
        <f>'Non-Rebalanced Portfolio'!G11</f>
        <v>-15.614000000000001</v>
      </c>
      <c r="H11" s="17">
        <f>'Non-Rebalanced Portfolio'!H11</f>
        <v>11.39</v>
      </c>
      <c r="N11" s="45">
        <v>2000</v>
      </c>
      <c r="O11" s="46">
        <v>2.7E-2</v>
      </c>
      <c r="P11" s="44"/>
    </row>
    <row r="12" spans="1:16" x14ac:dyDescent="0.25">
      <c r="A12" s="17">
        <f>'Non-Rebalanced Portfolio'!A12</f>
        <v>2001</v>
      </c>
      <c r="B12" s="17">
        <f>'Non-Rebalanced Portfolio'!B12</f>
        <v>-12.02</v>
      </c>
      <c r="C12" s="17"/>
      <c r="D12" s="17">
        <f>'Non-Rebalanced Portfolio'!D12</f>
        <v>-0.499</v>
      </c>
      <c r="E12" s="17">
        <f>'Non-Rebalanced Portfolio'!E12</f>
        <v>3.1</v>
      </c>
      <c r="F12" s="17"/>
      <c r="G12" s="17">
        <f>'Non-Rebalanced Portfolio'!G12</f>
        <v>-20.152999999999999</v>
      </c>
      <c r="H12" s="17">
        <f>'Non-Rebalanced Portfolio'!H12</f>
        <v>8.43</v>
      </c>
      <c r="N12" s="45">
        <v>2001</v>
      </c>
      <c r="O12" s="46">
        <v>3.4000000000000002E-2</v>
      </c>
      <c r="P12" s="44"/>
    </row>
    <row r="13" spans="1:16" x14ac:dyDescent="0.25">
      <c r="A13" s="17">
        <f>'Non-Rebalanced Portfolio'!A13</f>
        <v>2002</v>
      </c>
      <c r="B13" s="17">
        <f>'Non-Rebalanced Portfolio'!B13</f>
        <v>-22.15</v>
      </c>
      <c r="C13" s="17"/>
      <c r="D13" s="17">
        <f>'Non-Rebalanced Portfolio'!D13</f>
        <v>-14.608000000000001</v>
      </c>
      <c r="E13" s="17">
        <f>'Non-Rebalanced Portfolio'!E13</f>
        <v>-20.021999999999998</v>
      </c>
      <c r="F13" s="17"/>
      <c r="G13" s="17">
        <f>'Non-Rebalanced Portfolio'!G13</f>
        <v>-15.083</v>
      </c>
      <c r="H13" s="17">
        <f>'Non-Rebalanced Portfolio'!H13</f>
        <v>8.26</v>
      </c>
      <c r="N13" s="45">
        <v>2002</v>
      </c>
      <c r="O13" s="46">
        <v>1.6E-2</v>
      </c>
      <c r="P13" s="44"/>
    </row>
    <row r="14" spans="1:16" x14ac:dyDescent="0.25">
      <c r="A14" s="17">
        <f>'Non-Rebalanced Portfolio'!A14</f>
        <v>2003</v>
      </c>
      <c r="B14" s="17">
        <f>'Non-Rebalanced Portfolio'!B14</f>
        <v>28.5</v>
      </c>
      <c r="C14" s="17"/>
      <c r="D14" s="17">
        <f>'Non-Rebalanced Portfolio'!D14</f>
        <v>34.142000000000003</v>
      </c>
      <c r="E14" s="17">
        <f>'Non-Rebalanced Portfolio'!E14</f>
        <v>45.628</v>
      </c>
      <c r="F14" s="17"/>
      <c r="G14" s="17">
        <f>'Non-Rebalanced Portfolio'!G14</f>
        <v>40.340000000000003</v>
      </c>
      <c r="H14" s="17">
        <f>'Non-Rebalanced Portfolio'!H14</f>
        <v>3.97</v>
      </c>
      <c r="N14" s="45">
        <v>2003</v>
      </c>
      <c r="O14" s="46">
        <v>2.5000000000000001E-2</v>
      </c>
      <c r="P14" s="44"/>
    </row>
    <row r="15" spans="1:16"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c r="N15" s="45">
        <v>2004</v>
      </c>
      <c r="O15" s="46">
        <v>0.02</v>
      </c>
      <c r="P15" s="44"/>
    </row>
    <row r="16" spans="1:16"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c r="N16" s="45">
        <v>2005</v>
      </c>
      <c r="O16" s="46">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5">
        <v>2006</v>
      </c>
      <c r="O17" s="46">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5">
        <v>2007</v>
      </c>
      <c r="O18" s="46">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5">
        <v>2008</v>
      </c>
      <c r="O19" s="46">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5">
        <v>2009</v>
      </c>
      <c r="O20" s="46">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5">
        <v>2010</v>
      </c>
      <c r="O21" s="46">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5">
        <v>2011</v>
      </c>
      <c r="O22" s="46">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5">
        <v>2012</v>
      </c>
      <c r="O23" s="46">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5">
        <v>2013</v>
      </c>
      <c r="O24" s="46">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5">
        <v>2014</v>
      </c>
      <c r="O25" s="46">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5">
        <v>2015</v>
      </c>
      <c r="O26" s="46">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5">
        <v>2016</v>
      </c>
      <c r="O27" s="46">
        <v>4.4000000000000003E-3</v>
      </c>
    </row>
    <row r="28" spans="1:16"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c r="N28" s="45">
        <v>2017</v>
      </c>
      <c r="O28" s="46">
        <v>1.7000000000000001E-2</v>
      </c>
    </row>
    <row r="29" spans="1:16"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c r="N29" s="45">
        <v>2017</v>
      </c>
      <c r="O29" s="46">
        <v>2.23E-2</v>
      </c>
    </row>
    <row r="30" spans="1:16"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c r="N30" s="45">
        <v>2017</v>
      </c>
      <c r="O30" s="46">
        <v>2.23E-2</v>
      </c>
    </row>
    <row r="31" spans="1:16"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5">
        <v>2017</v>
      </c>
      <c r="O31" s="46">
        <v>2.23E-2</v>
      </c>
    </row>
    <row r="32" spans="1:16"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5">
        <v>2017</v>
      </c>
      <c r="O32" s="46">
        <v>2.23E-2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5">
        <v>2017</v>
      </c>
      <c r="O33" s="46">
        <v>2.23E-2</v>
      </c>
    </row>
    <row r="36" spans="1:42" x14ac:dyDescent="0.25">
      <c r="A36" s="20" t="s">
        <v>124</v>
      </c>
      <c r="N36" s="20" t="s">
        <v>25</v>
      </c>
      <c r="R36" s="20" t="s">
        <v>125</v>
      </c>
      <c r="AF36" s="20" t="s">
        <v>139</v>
      </c>
    </row>
    <row r="37" spans="1:4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112</v>
      </c>
      <c r="AP37" s="5" t="s">
        <v>113</v>
      </c>
    </row>
    <row r="38" spans="1:4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F38" t="s">
        <v>73</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71</v>
      </c>
      <c r="AO38" s="5" t="s">
        <v>113</v>
      </c>
      <c r="AP38" s="5" t="s">
        <v>88</v>
      </c>
    </row>
    <row r="39" spans="1:42"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F39" s="21" t="s">
        <v>87</v>
      </c>
      <c r="AG39" s="6">
        <f t="shared" ref="AG39:AH54" si="3">S39/$Z39</f>
        <v>0.2</v>
      </c>
      <c r="AH39" s="6">
        <f t="shared" si="3"/>
        <v>0.3</v>
      </c>
      <c r="AI39" s="23">
        <v>0.2</v>
      </c>
      <c r="AJ39" s="23">
        <v>0.1</v>
      </c>
      <c r="AK39" s="6">
        <f t="shared" ref="AK39:AK48" si="4">W39/$Z39</f>
        <v>0.2</v>
      </c>
      <c r="AL39" s="23">
        <v>0.2</v>
      </c>
      <c r="AM39" s="6">
        <f>Y39/$Z39</f>
        <v>0.3</v>
      </c>
      <c r="AN39" s="6">
        <f>Z39/$Z39</f>
        <v>1</v>
      </c>
      <c r="AO39" s="24"/>
    </row>
    <row r="40" spans="1:42" x14ac:dyDescent="0.25">
      <c r="A40">
        <f t="shared" ref="A40:A64" si="5">A4</f>
        <v>1993</v>
      </c>
      <c r="B40" s="2">
        <f>B39*(1+(B4/100))</f>
        <v>21978</v>
      </c>
      <c r="C40" s="2">
        <f>C39*(1+(C4/100))</f>
        <v>34347</v>
      </c>
      <c r="D40" s="2"/>
      <c r="E40" s="2"/>
      <c r="F40" s="2">
        <f>F39*(1+(F4/100))</f>
        <v>26098.799999999999</v>
      </c>
      <c r="G40" s="2"/>
      <c r="H40" s="2">
        <f>H39*(1+(H4/100))</f>
        <v>32904</v>
      </c>
      <c r="I40" s="2">
        <f>SUM(B40:H40)</f>
        <v>115327.8</v>
      </c>
      <c r="J40" s="2">
        <f>I40-I39</f>
        <v>15327.800000000003</v>
      </c>
      <c r="K40" s="6">
        <f>(J40/I39)</f>
        <v>0.15327800000000003</v>
      </c>
      <c r="L40" s="7">
        <f>K40+1</f>
        <v>1.153278</v>
      </c>
      <c r="N40">
        <f>A40</f>
        <v>1993</v>
      </c>
      <c r="O40" s="2">
        <f>I40*0.045</f>
        <v>5189.7510000000002</v>
      </c>
      <c r="P40" s="2"/>
      <c r="Q40" s="2"/>
      <c r="R40">
        <f>A40</f>
        <v>1993</v>
      </c>
      <c r="S40" s="2">
        <f>B40-($O40/4)</f>
        <v>20680.562249999999</v>
      </c>
      <c r="T40" s="2">
        <f>C40-($O40/4)</f>
        <v>33049.562250000003</v>
      </c>
      <c r="U40" s="2"/>
      <c r="V40" s="2"/>
      <c r="W40" s="2">
        <f t="shared" ref="W40:X45" si="6">F40-($O40/4)</f>
        <v>24801.362249999998</v>
      </c>
      <c r="X40" s="2"/>
      <c r="Y40" s="2">
        <f>H40-($O40/4)</f>
        <v>31606.562249999999</v>
      </c>
      <c r="Z40" s="2">
        <f>SUM(S40:Y40)</f>
        <v>110138.04900000001</v>
      </c>
      <c r="AA40" s="2">
        <f>Z40-Z39</f>
        <v>10138.049000000014</v>
      </c>
      <c r="AB40" s="6">
        <f>(AA40/Z39)</f>
        <v>0.10138049000000014</v>
      </c>
      <c r="AC40" s="7">
        <f>AB40+1</f>
        <v>1.1013804900000002</v>
      </c>
      <c r="AD40" s="2">
        <f>Z40-(I40-O40)</f>
        <v>0</v>
      </c>
      <c r="AF40">
        <f t="shared" ref="AF40:AF64" si="7">A40</f>
        <v>1993</v>
      </c>
      <c r="AG40" s="6">
        <f t="shared" si="3"/>
        <v>0.1877694623953253</v>
      </c>
      <c r="AH40" s="6">
        <f t="shared" si="3"/>
        <v>0.30007397579741041</v>
      </c>
      <c r="AI40" s="7"/>
      <c r="AJ40" s="7"/>
      <c r="AK40" s="6">
        <f t="shared" si="4"/>
        <v>0.22518432526437793</v>
      </c>
      <c r="AL40" s="7"/>
      <c r="AM40" s="6">
        <f t="shared" ref="AM40:AM64" si="8">Y40/$Z40</f>
        <v>0.28697223654288623</v>
      </c>
      <c r="AN40" s="6">
        <f>SUM(AG40:AM40)</f>
        <v>0.99999999999999978</v>
      </c>
      <c r="AO40" s="7">
        <f>SUM(AG40:AL40)</f>
        <v>0.71302776345711361</v>
      </c>
      <c r="AP40" s="7">
        <f>AN40-(AO40+AM40)</f>
        <v>0</v>
      </c>
    </row>
    <row r="41" spans="1:42" x14ac:dyDescent="0.25">
      <c r="A41">
        <f t="shared" si="5"/>
        <v>1994</v>
      </c>
      <c r="B41" s="2">
        <f t="shared" ref="B41:B50" si="9">S40*(1+(B5/100))</f>
        <v>20924.592884549998</v>
      </c>
      <c r="C41" s="2">
        <f t="shared" ref="C41:C45" si="10">T40*(1+(C5/100))</f>
        <v>32466.567971910004</v>
      </c>
      <c r="D41" s="2"/>
      <c r="E41" s="2"/>
      <c r="F41" s="2">
        <f t="shared" ref="F41:F43" si="11">W40*(1+(F5/100))</f>
        <v>26104.6738362375</v>
      </c>
      <c r="G41" s="2"/>
      <c r="H41" s="2">
        <f t="shared" ref="H41:H64" si="12">Y40*(1+(H5/100))</f>
        <v>30765.827694150001</v>
      </c>
      <c r="I41" s="2">
        <f t="shared" ref="I41:I64" si="13">SUM(B41:H41)</f>
        <v>110261.66238684751</v>
      </c>
      <c r="J41" s="2">
        <f t="shared" ref="J41:J64" si="14">I41-I40</f>
        <v>-5066.1376131524885</v>
      </c>
      <c r="K41" s="6">
        <f t="shared" ref="K41:K64" si="15">(J41/I40)</f>
        <v>-4.3928156204770127E-2</v>
      </c>
      <c r="L41" s="7">
        <f t="shared" ref="L41:L64" si="16">K41+1</f>
        <v>0.95607184379522991</v>
      </c>
      <c r="N41">
        <f t="shared" ref="N41:N64" si="17">A41</f>
        <v>1994</v>
      </c>
      <c r="O41" s="2">
        <f t="shared" ref="O41:O64" si="18">O40*(1+O5)</f>
        <v>5335.0640280000007</v>
      </c>
      <c r="P41" s="2"/>
      <c r="Q41" s="2"/>
      <c r="R41">
        <f t="shared" ref="R41:R64" si="19">A41</f>
        <v>1994</v>
      </c>
      <c r="S41" s="2">
        <f t="shared" ref="S41:T45" si="20">B41-($O41/4)</f>
        <v>19590.826877549996</v>
      </c>
      <c r="T41" s="2">
        <f t="shared" si="20"/>
        <v>31132.801964910002</v>
      </c>
      <c r="U41" s="2"/>
      <c r="V41" s="2"/>
      <c r="W41" s="2">
        <f t="shared" si="6"/>
        <v>24770.907829237498</v>
      </c>
      <c r="X41" s="2"/>
      <c r="Y41" s="2">
        <f t="shared" ref="Y41:Y45" si="21">H41-($O41/4)</f>
        <v>29432.061687150002</v>
      </c>
      <c r="Z41" s="2">
        <f t="shared" ref="Z41:Z64" si="22">SUM(S41:Y41)</f>
        <v>104926.59835884749</v>
      </c>
      <c r="AA41" s="2">
        <f t="shared" ref="AA41:AA55" si="23">Z41-Z40</f>
        <v>-5211.4506411525217</v>
      </c>
      <c r="AB41" s="6">
        <f t="shared" ref="AB41:AB55" si="24">(AA41/Z40)</f>
        <v>-4.7317441052115612E-2</v>
      </c>
      <c r="AC41" s="7">
        <f t="shared" ref="AC41:AC64" si="25">AB41+1</f>
        <v>0.95268255894788434</v>
      </c>
      <c r="AD41" s="2">
        <f t="shared" ref="AD41:AD64" si="26">Z41-(I41-O41)</f>
        <v>0</v>
      </c>
      <c r="AF41">
        <f t="shared" si="7"/>
        <v>1994</v>
      </c>
      <c r="AG41" s="6">
        <f t="shared" si="3"/>
        <v>0.18670982557301288</v>
      </c>
      <c r="AH41" s="6">
        <f t="shared" si="3"/>
        <v>0.29671029511922475</v>
      </c>
      <c r="AI41" s="7"/>
      <c r="AJ41" s="7"/>
      <c r="AK41" s="6">
        <f t="shared" si="4"/>
        <v>0.23607844165996253</v>
      </c>
      <c r="AL41" s="7"/>
      <c r="AM41" s="6">
        <f t="shared" si="8"/>
        <v>0.28050143764779989</v>
      </c>
      <c r="AN41" s="6">
        <f t="shared" ref="AN41:AN64" si="27">SUM(AG41:AM41)</f>
        <v>1</v>
      </c>
      <c r="AO41" s="7">
        <f t="shared" ref="AO41:AO64" si="28">SUM(AG41:AL41)</f>
        <v>0.71949856235220011</v>
      </c>
      <c r="AP41" s="7">
        <f t="shared" ref="AP41:AP64" si="29">AN41-(AO41+AM41)</f>
        <v>0</v>
      </c>
    </row>
    <row r="42" spans="1:42" x14ac:dyDescent="0.25">
      <c r="A42">
        <f t="shared" si="5"/>
        <v>1995</v>
      </c>
      <c r="B42" s="2">
        <f t="shared" si="9"/>
        <v>26927.59154319247</v>
      </c>
      <c r="C42" s="2">
        <f t="shared" si="10"/>
        <v>41654.755044990634</v>
      </c>
      <c r="D42" s="2"/>
      <c r="E42" s="2"/>
      <c r="F42" s="2">
        <f t="shared" si="11"/>
        <v>27160.309598445747</v>
      </c>
      <c r="G42" s="2"/>
      <c r="H42" s="2">
        <f t="shared" si="12"/>
        <v>34782.810501873872</v>
      </c>
      <c r="I42" s="2">
        <f t="shared" ref="I42:I48" si="30">SUM(B42:H42)</f>
        <v>130525.46668850273</v>
      </c>
      <c r="J42" s="2">
        <f t="shared" si="14"/>
        <v>20263.804301655211</v>
      </c>
      <c r="K42" s="6">
        <f t="shared" si="15"/>
        <v>0.18377923806881008</v>
      </c>
      <c r="L42" s="7">
        <f t="shared" si="16"/>
        <v>1.1837792380688101</v>
      </c>
      <c r="N42">
        <f t="shared" si="17"/>
        <v>1995</v>
      </c>
      <c r="O42" s="2">
        <f t="shared" si="18"/>
        <v>5473.7756927280006</v>
      </c>
      <c r="P42" s="2"/>
      <c r="Q42" s="2"/>
      <c r="R42">
        <f t="shared" si="19"/>
        <v>1995</v>
      </c>
      <c r="S42" s="2">
        <f t="shared" si="20"/>
        <v>25559.14762001047</v>
      </c>
      <c r="T42" s="2">
        <f t="shared" si="20"/>
        <v>40286.311121808634</v>
      </c>
      <c r="U42" s="2"/>
      <c r="V42" s="2"/>
      <c r="W42" s="2">
        <f t="shared" si="6"/>
        <v>25791.865675263747</v>
      </c>
      <c r="X42" s="2"/>
      <c r="Y42" s="2">
        <f t="shared" si="21"/>
        <v>33414.366578691872</v>
      </c>
      <c r="Z42" s="2">
        <f t="shared" si="22"/>
        <v>125051.69099577473</v>
      </c>
      <c r="AA42" s="2">
        <f t="shared" si="23"/>
        <v>20125.092636927235</v>
      </c>
      <c r="AB42" s="6">
        <f t="shared" si="24"/>
        <v>0.191801630394037</v>
      </c>
      <c r="AC42" s="7">
        <f t="shared" si="25"/>
        <v>1.1918016303940371</v>
      </c>
      <c r="AD42" s="2">
        <f t="shared" si="26"/>
        <v>0</v>
      </c>
      <c r="AF42">
        <f t="shared" si="7"/>
        <v>1995</v>
      </c>
      <c r="AG42" s="6">
        <f t="shared" si="3"/>
        <v>0.20438866053297966</v>
      </c>
      <c r="AH42" s="6">
        <f t="shared" si="3"/>
        <v>0.3221572679346642</v>
      </c>
      <c r="AI42" s="7"/>
      <c r="AJ42" s="7"/>
      <c r="AK42" s="6">
        <f t="shared" si="4"/>
        <v>0.20624963540984989</v>
      </c>
      <c r="AL42" s="7"/>
      <c r="AM42" s="6">
        <f t="shared" si="8"/>
        <v>0.26720443612250622</v>
      </c>
      <c r="AN42" s="6">
        <f t="shared" si="27"/>
        <v>1</v>
      </c>
      <c r="AO42" s="7">
        <f t="shared" si="28"/>
        <v>0.73279556387749378</v>
      </c>
      <c r="AP42" s="7">
        <f t="shared" si="29"/>
        <v>0</v>
      </c>
    </row>
    <row r="43" spans="1:42" x14ac:dyDescent="0.25">
      <c r="A43">
        <f t="shared" si="5"/>
        <v>1996</v>
      </c>
      <c r="B43" s="2">
        <f t="shared" si="9"/>
        <v>31407.080595468869</v>
      </c>
      <c r="C43" s="2">
        <f t="shared" si="10"/>
        <v>47395.6364454742</v>
      </c>
      <c r="D43" s="2"/>
      <c r="E43" s="2"/>
      <c r="F43" s="2">
        <f t="shared" si="11"/>
        <v>28427.536428618951</v>
      </c>
      <c r="G43" s="2"/>
      <c r="H43" s="2">
        <f t="shared" si="12"/>
        <v>34610.600902209044</v>
      </c>
      <c r="I43" s="2">
        <f t="shared" si="30"/>
        <v>141840.85437177104</v>
      </c>
      <c r="J43" s="2">
        <f t="shared" si="14"/>
        <v>11315.387683268316</v>
      </c>
      <c r="K43" s="6">
        <f t="shared" si="15"/>
        <v>8.6691034097371486E-2</v>
      </c>
      <c r="L43" s="7">
        <f t="shared" si="16"/>
        <v>1.0866910340973714</v>
      </c>
      <c r="N43">
        <f t="shared" si="17"/>
        <v>1996</v>
      </c>
      <c r="O43" s="2">
        <f t="shared" si="18"/>
        <v>5610.6200850462001</v>
      </c>
      <c r="P43" s="2"/>
      <c r="Q43" s="2"/>
      <c r="R43">
        <f t="shared" si="19"/>
        <v>1996</v>
      </c>
      <c r="S43" s="2">
        <f t="shared" si="20"/>
        <v>30004.425574207318</v>
      </c>
      <c r="T43" s="2">
        <f t="shared" si="20"/>
        <v>45992.981424212652</v>
      </c>
      <c r="U43" s="2"/>
      <c r="V43" s="2"/>
      <c r="W43" s="2">
        <f t="shared" si="6"/>
        <v>27024.881407357399</v>
      </c>
      <c r="X43" s="2"/>
      <c r="Y43" s="2">
        <f t="shared" si="21"/>
        <v>33207.945880947496</v>
      </c>
      <c r="Z43" s="2">
        <f t="shared" si="22"/>
        <v>136230.23428672488</v>
      </c>
      <c r="AA43" s="2">
        <f t="shared" si="23"/>
        <v>11178.543290950154</v>
      </c>
      <c r="AB43" s="6">
        <f t="shared" si="24"/>
        <v>8.9391380491830832E-2</v>
      </c>
      <c r="AC43" s="7">
        <f t="shared" si="25"/>
        <v>1.0893913804918309</v>
      </c>
      <c r="AD43" s="2">
        <f t="shared" si="26"/>
        <v>0</v>
      </c>
      <c r="AF43">
        <f t="shared" si="7"/>
        <v>1996</v>
      </c>
      <c r="AG43" s="6">
        <f t="shared" si="3"/>
        <v>0.22024791876270844</v>
      </c>
      <c r="AH43" s="6">
        <f t="shared" si="3"/>
        <v>0.33761214362599457</v>
      </c>
      <c r="AI43" s="7"/>
      <c r="AJ43" s="7"/>
      <c r="AK43" s="6">
        <f t="shared" si="4"/>
        <v>0.19837653182389683</v>
      </c>
      <c r="AL43" s="7"/>
      <c r="AM43" s="6">
        <f t="shared" si="8"/>
        <v>0.24376340578740005</v>
      </c>
      <c r="AN43" s="6">
        <f t="shared" si="27"/>
        <v>0.99999999999999989</v>
      </c>
      <c r="AO43" s="7">
        <f t="shared" si="28"/>
        <v>0.75623659421259981</v>
      </c>
      <c r="AP43" s="7">
        <f t="shared" si="29"/>
        <v>0</v>
      </c>
    </row>
    <row r="44" spans="1:42" x14ac:dyDescent="0.25">
      <c r="A44">
        <f t="shared" si="5"/>
        <v>1997</v>
      </c>
      <c r="B44" s="2">
        <f t="shared" si="9"/>
        <v>39962.894422286729</v>
      </c>
      <c r="C44" s="2">
        <f t="shared" si="10"/>
        <v>58267.12837689228</v>
      </c>
      <c r="D44" s="2"/>
      <c r="E44" s="2"/>
      <c r="F44" s="2"/>
      <c r="G44" s="2">
        <f>W43*(1+(G8/100))</f>
        <v>26815.438576450379</v>
      </c>
      <c r="H44" s="2">
        <f t="shared" si="12"/>
        <v>36342.775972108939</v>
      </c>
      <c r="I44" s="2">
        <f t="shared" si="30"/>
        <v>161388.23734773835</v>
      </c>
      <c r="J44" s="2">
        <f t="shared" si="14"/>
        <v>19547.38297596731</v>
      </c>
      <c r="K44" s="6">
        <f t="shared" si="15"/>
        <v>0.13781207863238593</v>
      </c>
      <c r="L44" s="7">
        <f t="shared" si="16"/>
        <v>1.137812078632386</v>
      </c>
      <c r="N44">
        <f t="shared" si="17"/>
        <v>1997</v>
      </c>
      <c r="O44" s="2">
        <f t="shared" si="18"/>
        <v>5801.3811679377714</v>
      </c>
      <c r="P44" s="2"/>
      <c r="Q44" s="2"/>
      <c r="R44">
        <f t="shared" si="19"/>
        <v>1997</v>
      </c>
      <c r="S44" s="2">
        <f t="shared" si="20"/>
        <v>38512.549130302286</v>
      </c>
      <c r="T44" s="2">
        <f t="shared" si="20"/>
        <v>56816.783084907838</v>
      </c>
      <c r="U44" s="2"/>
      <c r="V44" s="2"/>
      <c r="W44" s="2"/>
      <c r="X44" s="2">
        <f t="shared" si="6"/>
        <v>25365.093284465936</v>
      </c>
      <c r="Y44" s="2">
        <f t="shared" si="21"/>
        <v>34892.430680124497</v>
      </c>
      <c r="Z44" s="2">
        <f t="shared" si="22"/>
        <v>155586.85617980058</v>
      </c>
      <c r="AA44" s="2">
        <f t="shared" si="23"/>
        <v>19356.621893075702</v>
      </c>
      <c r="AB44" s="6">
        <f t="shared" si="24"/>
        <v>0.14208756223919913</v>
      </c>
      <c r="AC44" s="7">
        <f t="shared" si="25"/>
        <v>1.1420875622391991</v>
      </c>
      <c r="AD44" s="2">
        <f t="shared" si="26"/>
        <v>0</v>
      </c>
      <c r="AF44">
        <f t="shared" si="7"/>
        <v>1997</v>
      </c>
      <c r="AG44" s="6">
        <f t="shared" si="3"/>
        <v>0.24753086524093071</v>
      </c>
      <c r="AH44" s="6">
        <f t="shared" si="3"/>
        <v>0.36517726805437056</v>
      </c>
      <c r="AI44" s="7"/>
      <c r="AJ44" s="7"/>
      <c r="AK44" s="6">
        <f t="shared" si="4"/>
        <v>0</v>
      </c>
      <c r="AL44" s="7"/>
      <c r="AM44" s="6">
        <f t="shared" si="8"/>
        <v>0.22426335705248659</v>
      </c>
      <c r="AN44" s="6">
        <f t="shared" si="27"/>
        <v>0.83697149034778784</v>
      </c>
      <c r="AO44" s="7">
        <f t="shared" si="28"/>
        <v>0.61270813329530127</v>
      </c>
      <c r="AP44" s="7">
        <f t="shared" si="29"/>
        <v>0</v>
      </c>
    </row>
    <row r="45" spans="1:42" x14ac:dyDescent="0.25">
      <c r="A45">
        <f t="shared" si="5"/>
        <v>1998</v>
      </c>
      <c r="B45" s="2">
        <f t="shared" si="9"/>
        <v>49550.245711046919</v>
      </c>
      <c r="C45" s="2">
        <f t="shared" si="10"/>
        <v>61562.688975990197</v>
      </c>
      <c r="D45" s="2"/>
      <c r="E45" s="2"/>
      <c r="F45" s="2"/>
      <c r="G45" s="2">
        <f t="shared" ref="G45:G64" si="31">X44*(1+(G9/100))</f>
        <v>29322.808789641153</v>
      </c>
      <c r="H45" s="2">
        <f t="shared" si="12"/>
        <v>37886.201232479179</v>
      </c>
      <c r="I45" s="2">
        <f t="shared" si="30"/>
        <v>178321.94470915745</v>
      </c>
      <c r="J45" s="2">
        <f t="shared" si="14"/>
        <v>16933.707361419103</v>
      </c>
      <c r="K45" s="6">
        <f t="shared" si="15"/>
        <v>0.10492528848265785</v>
      </c>
      <c r="L45" s="7">
        <f t="shared" si="16"/>
        <v>1.1049252884826579</v>
      </c>
      <c r="N45">
        <f t="shared" si="17"/>
        <v>1998</v>
      </c>
      <c r="O45" s="2">
        <f t="shared" si="18"/>
        <v>5900.0046477927126</v>
      </c>
      <c r="P45" s="2"/>
      <c r="Q45" s="2"/>
      <c r="R45">
        <f t="shared" si="19"/>
        <v>1998</v>
      </c>
      <c r="S45" s="2">
        <f t="shared" si="20"/>
        <v>48075.244549098737</v>
      </c>
      <c r="T45" s="2">
        <f t="shared" si="20"/>
        <v>60087.687814042016</v>
      </c>
      <c r="U45" s="2"/>
      <c r="V45" s="2"/>
      <c r="W45" s="2"/>
      <c r="X45" s="2">
        <f t="shared" si="6"/>
        <v>27847.807627692975</v>
      </c>
      <c r="Y45" s="2">
        <f t="shared" si="21"/>
        <v>36411.200070530998</v>
      </c>
      <c r="Z45" s="2">
        <f t="shared" si="22"/>
        <v>172421.9400613647</v>
      </c>
      <c r="AA45" s="2">
        <f t="shared" si="23"/>
        <v>16835.083881564118</v>
      </c>
      <c r="AB45" s="6">
        <f t="shared" si="24"/>
        <v>0.10820376666078411</v>
      </c>
      <c r="AC45" s="7">
        <f t="shared" si="25"/>
        <v>1.108203766660784</v>
      </c>
      <c r="AD45" s="2">
        <f t="shared" si="26"/>
        <v>0</v>
      </c>
      <c r="AF45">
        <f t="shared" si="7"/>
        <v>1998</v>
      </c>
      <c r="AG45" s="6">
        <f t="shared" si="3"/>
        <v>0.27882324332964142</v>
      </c>
      <c r="AH45" s="6">
        <f t="shared" si="3"/>
        <v>0.34849212224764958</v>
      </c>
      <c r="AI45" s="7"/>
      <c r="AJ45" s="7"/>
      <c r="AK45" s="6">
        <f t="shared" si="4"/>
        <v>0</v>
      </c>
      <c r="AL45" s="7"/>
      <c r="AM45" s="6">
        <f t="shared" si="8"/>
        <v>0.21117498189367495</v>
      </c>
      <c r="AN45" s="6">
        <f t="shared" si="27"/>
        <v>0.83849034747096596</v>
      </c>
      <c r="AO45" s="7">
        <f t="shared" si="28"/>
        <v>0.62731536557729095</v>
      </c>
      <c r="AP45" s="7">
        <f t="shared" si="29"/>
        <v>0</v>
      </c>
    </row>
    <row r="46" spans="1:42" x14ac:dyDescent="0.25">
      <c r="A46">
        <f t="shared" si="5"/>
        <v>1999</v>
      </c>
      <c r="B46" s="2">
        <f t="shared" si="9"/>
        <v>58204.698575593844</v>
      </c>
      <c r="C46" s="2"/>
      <c r="D46" s="2">
        <f>($T45*0.67)*(1+(D10/100))</f>
        <v>46425.988875884323</v>
      </c>
      <c r="E46" s="2">
        <f>($T45*0.33)*(1+(E10/100))</f>
        <v>24415.964969901237</v>
      </c>
      <c r="F46" s="2"/>
      <c r="G46" s="2">
        <f t="shared" si="31"/>
        <v>36179.593191822438</v>
      </c>
      <c r="H46" s="2">
        <f t="shared" si="12"/>
        <v>36134.474949994961</v>
      </c>
      <c r="I46" s="2">
        <f t="shared" si="30"/>
        <v>201360.72056319681</v>
      </c>
      <c r="J46" s="2">
        <f t="shared" si="14"/>
        <v>23038.775854039355</v>
      </c>
      <c r="K46" s="6">
        <f t="shared" si="15"/>
        <v>0.12919764806073381</v>
      </c>
      <c r="L46" s="7">
        <f t="shared" si="16"/>
        <v>1.1291976480607337</v>
      </c>
      <c r="N46">
        <f t="shared" si="17"/>
        <v>1999</v>
      </c>
      <c r="O46" s="2">
        <f t="shared" si="18"/>
        <v>5994.4047221573965</v>
      </c>
      <c r="P46" s="2"/>
      <c r="Q46" s="2"/>
      <c r="R46">
        <f t="shared" si="19"/>
        <v>1999</v>
      </c>
      <c r="S46" s="2">
        <f t="shared" ref="S46:S48" si="32">B46-($O46/5)</f>
        <v>57005.817631162368</v>
      </c>
      <c r="T46" s="2"/>
      <c r="U46" s="2">
        <f t="shared" ref="U46:U48" si="33">D46-($O46/5)</f>
        <v>45227.107931452847</v>
      </c>
      <c r="V46" s="2">
        <f t="shared" ref="V46:V48" si="34">E46-($O46/5)</f>
        <v>23217.084025469758</v>
      </c>
      <c r="W46" s="2"/>
      <c r="X46" s="2">
        <f t="shared" ref="X46:Y48" si="35">G46-($O46/5)</f>
        <v>34980.712247390955</v>
      </c>
      <c r="Y46" s="2">
        <f t="shared" si="35"/>
        <v>34935.594005563486</v>
      </c>
      <c r="Z46" s="2">
        <f t="shared" si="22"/>
        <v>195366.31584103941</v>
      </c>
      <c r="AA46" s="2">
        <f t="shared" si="23"/>
        <v>22944.375779674709</v>
      </c>
      <c r="AB46" s="6">
        <f t="shared" si="24"/>
        <v>0.13307109159953101</v>
      </c>
      <c r="AC46" s="7">
        <f t="shared" si="25"/>
        <v>1.133071091599531</v>
      </c>
      <c r="AD46" s="2">
        <f t="shared" si="26"/>
        <v>0</v>
      </c>
      <c r="AF46">
        <f t="shared" si="7"/>
        <v>1999</v>
      </c>
      <c r="AG46" s="6">
        <f t="shared" si="3"/>
        <v>0.29178938746813132</v>
      </c>
      <c r="AH46" s="6">
        <f t="shared" si="3"/>
        <v>0</v>
      </c>
      <c r="AI46" s="6">
        <f t="shared" ref="AI46:AI50" si="36">U46/$Z46</f>
        <v>0.23149900604284346</v>
      </c>
      <c r="AJ46" s="6">
        <f t="shared" ref="AJ46:AJ50" si="37">V46/$Z46</f>
        <v>0.11883872573182182</v>
      </c>
      <c r="AK46" s="6">
        <f t="shared" si="4"/>
        <v>0</v>
      </c>
      <c r="AL46" s="7"/>
      <c r="AM46" s="6">
        <f t="shared" si="8"/>
        <v>0.17882096949603621</v>
      </c>
      <c r="AN46" s="6">
        <f t="shared" si="27"/>
        <v>0.82094808873883285</v>
      </c>
      <c r="AO46" s="7">
        <f t="shared" si="28"/>
        <v>0.64212711924279664</v>
      </c>
      <c r="AP46" s="7">
        <f t="shared" si="29"/>
        <v>0</v>
      </c>
    </row>
    <row r="47" spans="1:42" x14ac:dyDescent="0.25">
      <c r="A47">
        <f t="shared" si="5"/>
        <v>2000</v>
      </c>
      <c r="B47" s="2">
        <f t="shared" si="9"/>
        <v>51841.09055377906</v>
      </c>
      <c r="C47" s="2"/>
      <c r="D47" s="2">
        <f t="shared" ref="D47:D48" si="38">U46*(1+(D11/100))</f>
        <v>53412.30992488718</v>
      </c>
      <c r="E47" s="2">
        <f t="shared" ref="E47:E48" si="39">V46*(1+(E11/100))</f>
        <v>22598.34873619099</v>
      </c>
      <c r="F47" s="2"/>
      <c r="G47" s="2">
        <f t="shared" si="31"/>
        <v>29518.823837083331</v>
      </c>
      <c r="H47" s="2">
        <f t="shared" si="12"/>
        <v>38914.758162797174</v>
      </c>
      <c r="I47" s="2">
        <f t="shared" si="30"/>
        <v>196285.33121473773</v>
      </c>
      <c r="J47" s="2">
        <f t="shared" si="14"/>
        <v>-5075.3893484590808</v>
      </c>
      <c r="K47" s="6">
        <f t="shared" si="15"/>
        <v>-2.5205458811745643E-2</v>
      </c>
      <c r="L47" s="7">
        <f t="shared" si="16"/>
        <v>0.97479454118825437</v>
      </c>
      <c r="N47">
        <f t="shared" si="17"/>
        <v>2000</v>
      </c>
      <c r="O47" s="2">
        <f t="shared" si="18"/>
        <v>6156.2536496556459</v>
      </c>
      <c r="P47" s="2"/>
      <c r="Q47" s="2"/>
      <c r="R47">
        <f t="shared" si="19"/>
        <v>2000</v>
      </c>
      <c r="S47" s="2">
        <f t="shared" si="32"/>
        <v>50609.839823847928</v>
      </c>
      <c r="T47" s="2"/>
      <c r="U47" s="2">
        <f t="shared" si="33"/>
        <v>52181.059194956048</v>
      </c>
      <c r="V47" s="2">
        <f t="shared" si="34"/>
        <v>21367.098006259861</v>
      </c>
      <c r="W47" s="2"/>
      <c r="X47" s="2">
        <f t="shared" si="35"/>
        <v>28287.573107152202</v>
      </c>
      <c r="Y47" s="2">
        <f t="shared" si="35"/>
        <v>37683.507432866041</v>
      </c>
      <c r="Z47" s="2">
        <f t="shared" si="22"/>
        <v>190129.07756508206</v>
      </c>
      <c r="AA47" s="2">
        <f t="shared" si="23"/>
        <v>-5237.238275957352</v>
      </c>
      <c r="AB47" s="6">
        <f t="shared" si="24"/>
        <v>-2.6807273574317961E-2</v>
      </c>
      <c r="AC47" s="7">
        <f t="shared" si="25"/>
        <v>0.973192726425682</v>
      </c>
      <c r="AD47" s="2">
        <f t="shared" si="26"/>
        <v>0</v>
      </c>
      <c r="AF47">
        <f t="shared" si="7"/>
        <v>2000</v>
      </c>
      <c r="AG47" s="6">
        <f t="shared" si="3"/>
        <v>0.26618674256452934</v>
      </c>
      <c r="AH47" s="6"/>
      <c r="AI47" s="6">
        <f t="shared" si="36"/>
        <v>0.27445070403339139</v>
      </c>
      <c r="AJ47" s="6">
        <f t="shared" si="37"/>
        <v>0.11238206317466515</v>
      </c>
      <c r="AK47" s="6">
        <f t="shared" si="4"/>
        <v>0</v>
      </c>
      <c r="AL47" s="7"/>
      <c r="AM47" s="6">
        <f t="shared" si="8"/>
        <v>0.19819960163624525</v>
      </c>
      <c r="AN47" s="6">
        <f t="shared" si="27"/>
        <v>0.85121911140883111</v>
      </c>
      <c r="AO47" s="7">
        <f t="shared" si="28"/>
        <v>0.65301950977258583</v>
      </c>
      <c r="AP47" s="7">
        <f t="shared" si="29"/>
        <v>0</v>
      </c>
    </row>
    <row r="48" spans="1:42" x14ac:dyDescent="0.25">
      <c r="A48">
        <f t="shared" si="5"/>
        <v>2001</v>
      </c>
      <c r="B48" s="2">
        <f t="shared" si="9"/>
        <v>44526.537077021407</v>
      </c>
      <c r="C48" s="2"/>
      <c r="D48" s="2">
        <f t="shared" si="38"/>
        <v>51920.675709573217</v>
      </c>
      <c r="E48" s="2">
        <f t="shared" si="39"/>
        <v>22029.478044453914</v>
      </c>
      <c r="F48" s="2"/>
      <c r="G48" s="2">
        <f t="shared" si="31"/>
        <v>22586.778498867818</v>
      </c>
      <c r="H48" s="2">
        <f t="shared" si="12"/>
        <v>40860.227109456653</v>
      </c>
      <c r="I48" s="2">
        <f t="shared" si="30"/>
        <v>181923.69643937302</v>
      </c>
      <c r="J48" s="2">
        <f t="shared" si="14"/>
        <v>-14361.634775364713</v>
      </c>
      <c r="K48" s="6">
        <f t="shared" si="15"/>
        <v>-7.3167132187035258E-2</v>
      </c>
      <c r="L48" s="7">
        <f t="shared" si="16"/>
        <v>0.9268328678129647</v>
      </c>
      <c r="N48">
        <f t="shared" si="17"/>
        <v>2001</v>
      </c>
      <c r="O48" s="2">
        <f t="shared" si="18"/>
        <v>6365.5662737439379</v>
      </c>
      <c r="P48" s="2"/>
      <c r="Q48" s="2"/>
      <c r="R48">
        <f t="shared" si="19"/>
        <v>2001</v>
      </c>
      <c r="S48" s="2">
        <f t="shared" si="32"/>
        <v>43253.42382227262</v>
      </c>
      <c r="T48" s="2"/>
      <c r="U48" s="2">
        <f t="shared" si="33"/>
        <v>50647.56245482443</v>
      </c>
      <c r="V48" s="2">
        <f t="shared" si="34"/>
        <v>20756.364789705127</v>
      </c>
      <c r="W48" s="2"/>
      <c r="X48" s="2">
        <f t="shared" si="35"/>
        <v>21313.665244119031</v>
      </c>
      <c r="Y48" s="2">
        <f t="shared" si="35"/>
        <v>39587.113854707866</v>
      </c>
      <c r="Z48" s="2">
        <f t="shared" si="22"/>
        <v>175558.13016562906</v>
      </c>
      <c r="AA48" s="2">
        <f t="shared" si="23"/>
        <v>-14570.947399452998</v>
      </c>
      <c r="AB48" s="6">
        <f t="shared" si="24"/>
        <v>-7.6637132973336478E-2</v>
      </c>
      <c r="AC48" s="7">
        <f t="shared" si="25"/>
        <v>0.92336286702666348</v>
      </c>
      <c r="AD48" s="2">
        <f t="shared" si="26"/>
        <v>0</v>
      </c>
      <c r="AF48">
        <f t="shared" si="7"/>
        <v>2001</v>
      </c>
      <c r="AG48" s="6">
        <f t="shared" si="3"/>
        <v>0.24637664904191842</v>
      </c>
      <c r="AH48" s="6"/>
      <c r="AI48" s="6">
        <f t="shared" si="36"/>
        <v>0.28849454256001333</v>
      </c>
      <c r="AJ48" s="6">
        <f t="shared" si="37"/>
        <v>0.11823072375014865</v>
      </c>
      <c r="AK48" s="6">
        <f t="shared" si="4"/>
        <v>0</v>
      </c>
      <c r="AL48" s="6"/>
      <c r="AM48" s="6">
        <f t="shared" si="8"/>
        <v>0.22549291119334483</v>
      </c>
      <c r="AN48" s="6">
        <f t="shared" si="27"/>
        <v>0.8785948265454252</v>
      </c>
      <c r="AO48" s="7">
        <f t="shared" si="28"/>
        <v>0.6531019153520804</v>
      </c>
      <c r="AP48" s="7">
        <f t="shared" si="29"/>
        <v>0</v>
      </c>
    </row>
    <row r="49" spans="1:42" x14ac:dyDescent="0.25">
      <c r="A49">
        <f t="shared" si="5"/>
        <v>2002</v>
      </c>
      <c r="B49" s="2">
        <f t="shared" si="9"/>
        <v>33672.790445639235</v>
      </c>
      <c r="C49" s="2"/>
      <c r="D49" s="2">
        <f t="shared" ref="D49" si="40">U48*(1+(D13/100))</f>
        <v>43248.966531423677</v>
      </c>
      <c r="E49" s="2">
        <f t="shared" ref="E49" si="41">V48*(1+(E13/100))</f>
        <v>16600.525431510367</v>
      </c>
      <c r="F49" s="2"/>
      <c r="G49" s="2">
        <f t="shared" si="31"/>
        <v>18098.925115348557</v>
      </c>
      <c r="H49" s="2">
        <f t="shared" si="12"/>
        <v>42857.009459106739</v>
      </c>
      <c r="I49" s="2">
        <f t="shared" si="13"/>
        <v>154478.21698302857</v>
      </c>
      <c r="J49" s="2">
        <f>I49-I48</f>
        <v>-27445.479456344445</v>
      </c>
      <c r="K49" s="6">
        <f>(J49/I48)</f>
        <v>-0.15086258686201875</v>
      </c>
      <c r="L49" s="7">
        <f t="shared" si="16"/>
        <v>0.84913741313798119</v>
      </c>
      <c r="N49">
        <f t="shared" si="17"/>
        <v>2002</v>
      </c>
      <c r="O49" s="2">
        <f t="shared" si="18"/>
        <v>6467.4153341238407</v>
      </c>
      <c r="P49" s="2"/>
      <c r="Q49" s="2"/>
      <c r="R49">
        <f t="shared" si="19"/>
        <v>2002</v>
      </c>
      <c r="S49" s="2">
        <f>B49-($O49/5)</f>
        <v>32379.307378814468</v>
      </c>
      <c r="T49" s="2"/>
      <c r="U49" s="2">
        <f t="shared" ref="U49" si="42">D49-($O49/5)</f>
        <v>41955.48346459891</v>
      </c>
      <c r="V49" s="2">
        <f t="shared" ref="V49" si="43">E49-($O49/5)</f>
        <v>15307.042364685598</v>
      </c>
      <c r="W49" s="2"/>
      <c r="X49" s="2">
        <f t="shared" ref="X49:Y51" si="44">G49-($O49/5)</f>
        <v>16805.44204852379</v>
      </c>
      <c r="Y49" s="2">
        <f t="shared" si="44"/>
        <v>41563.526392281972</v>
      </c>
      <c r="Z49" s="2">
        <f t="shared" si="22"/>
        <v>148010.80164890474</v>
      </c>
      <c r="AA49" s="2">
        <f>Z49-Z48</f>
        <v>-27547.328516724316</v>
      </c>
      <c r="AB49" s="6">
        <f>(AA49/Z48)</f>
        <v>-0.15691286123140516</v>
      </c>
      <c r="AC49" s="7">
        <f t="shared" si="25"/>
        <v>0.84308713876859487</v>
      </c>
      <c r="AD49" s="2">
        <f t="shared" si="26"/>
        <v>0</v>
      </c>
      <c r="AF49">
        <f t="shared" si="7"/>
        <v>2002</v>
      </c>
      <c r="AG49" s="6">
        <f t="shared" si="3"/>
        <v>0.21876313767708094</v>
      </c>
      <c r="AH49" s="6"/>
      <c r="AI49" s="6">
        <f t="shared" si="36"/>
        <v>0.28346230813695056</v>
      </c>
      <c r="AJ49" s="6">
        <f t="shared" si="37"/>
        <v>0.10341841402220976</v>
      </c>
      <c r="AK49" s="6"/>
      <c r="AL49" s="6">
        <f t="shared" ref="AL49:AL64" si="45">X49/$Z49</f>
        <v>0.11354199734954376</v>
      </c>
      <c r="AM49" s="6">
        <f t="shared" si="8"/>
        <v>0.28081414281421491</v>
      </c>
      <c r="AN49" s="6">
        <f t="shared" si="27"/>
        <v>0.99999999999999989</v>
      </c>
      <c r="AO49" s="7">
        <f t="shared" si="28"/>
        <v>0.71918585718578498</v>
      </c>
      <c r="AP49" s="7">
        <f t="shared" si="29"/>
        <v>0</v>
      </c>
    </row>
    <row r="50" spans="1:42" x14ac:dyDescent="0.25">
      <c r="A50">
        <f t="shared" si="5"/>
        <v>2003</v>
      </c>
      <c r="B50" s="2">
        <f t="shared" si="9"/>
        <v>41607.409981776589</v>
      </c>
      <c r="C50" s="2"/>
      <c r="D50" s="2">
        <f t="shared" ref="D50:D51" si="46">U49*(1+(D14/100))</f>
        <v>56279.92462908227</v>
      </c>
      <c r="E50" s="2">
        <f t="shared" ref="E50:E51" si="47">V49*(1+(E14/100))</f>
        <v>22291.339654844342</v>
      </c>
      <c r="F50" s="2"/>
      <c r="G50" s="2">
        <f t="shared" si="31"/>
        <v>23584.757370898285</v>
      </c>
      <c r="H50" s="2">
        <f t="shared" si="12"/>
        <v>43213.598390055573</v>
      </c>
      <c r="I50" s="2">
        <f t="shared" si="13"/>
        <v>186977.03002665704</v>
      </c>
      <c r="J50" s="2">
        <f>I50-I49</f>
        <v>32498.81304362847</v>
      </c>
      <c r="K50" s="6">
        <f>(J50/I49)</f>
        <v>0.21037796576328224</v>
      </c>
      <c r="L50" s="7">
        <f t="shared" si="16"/>
        <v>1.2103779657632823</v>
      </c>
      <c r="N50">
        <f t="shared" si="17"/>
        <v>2003</v>
      </c>
      <c r="O50" s="2">
        <f t="shared" si="18"/>
        <v>6629.1007174769366</v>
      </c>
      <c r="P50" s="2"/>
      <c r="Q50" s="2"/>
      <c r="R50">
        <f t="shared" si="19"/>
        <v>2003</v>
      </c>
      <c r="S50" s="2">
        <f>B50-($O50/5)</f>
        <v>40281.589838281201</v>
      </c>
      <c r="T50" s="2"/>
      <c r="U50" s="2">
        <f t="shared" ref="U50:V51" si="48">D50-($O50/5)</f>
        <v>54954.104485586882</v>
      </c>
      <c r="V50" s="2">
        <f t="shared" si="48"/>
        <v>20965.519511348954</v>
      </c>
      <c r="W50" s="2"/>
      <c r="X50" s="2">
        <f t="shared" si="44"/>
        <v>22258.937227402897</v>
      </c>
      <c r="Y50" s="2">
        <f t="shared" si="44"/>
        <v>41887.778246560185</v>
      </c>
      <c r="Z50" s="2">
        <f t="shared" si="22"/>
        <v>180347.92930918012</v>
      </c>
      <c r="AA50" s="2">
        <f>Z50-Z49</f>
        <v>32337.127660275379</v>
      </c>
      <c r="AB50" s="6">
        <f>(AA50/Z49)</f>
        <v>0.21847816037765963</v>
      </c>
      <c r="AC50" s="7">
        <f t="shared" si="25"/>
        <v>1.2184781603776595</v>
      </c>
      <c r="AD50" s="2">
        <f t="shared" si="26"/>
        <v>0</v>
      </c>
      <c r="AF50">
        <f t="shared" si="7"/>
        <v>2003</v>
      </c>
      <c r="AG50" s="6">
        <f t="shared" si="3"/>
        <v>0.22335487849835145</v>
      </c>
      <c r="AH50" s="6"/>
      <c r="AI50" s="6">
        <f t="shared" si="36"/>
        <v>0.30471159106781931</v>
      </c>
      <c r="AJ50" s="6">
        <f t="shared" si="37"/>
        <v>0.1162504032713713</v>
      </c>
      <c r="AK50" s="7"/>
      <c r="AL50" s="6">
        <f t="shared" si="45"/>
        <v>0.12342219460276257</v>
      </c>
      <c r="AM50" s="6">
        <f t="shared" si="8"/>
        <v>0.23226093255969532</v>
      </c>
      <c r="AN50" s="6">
        <f t="shared" si="27"/>
        <v>1</v>
      </c>
      <c r="AO50" s="7">
        <f t="shared" si="28"/>
        <v>0.76773906744030462</v>
      </c>
      <c r="AP50" s="7">
        <f t="shared" si="29"/>
        <v>0</v>
      </c>
    </row>
    <row r="51" spans="1:42" x14ac:dyDescent="0.25">
      <c r="A51">
        <f t="shared" si="5"/>
        <v>2004</v>
      </c>
      <c r="B51" s="2">
        <f t="shared" ref="B51:B64" si="49">S50*(1+(B15/100))</f>
        <v>44607.832586912598</v>
      </c>
      <c r="C51" s="2"/>
      <c r="D51" s="2">
        <f t="shared" si="46"/>
        <v>66138.91337153838</v>
      </c>
      <c r="E51" s="2">
        <f t="shared" si="47"/>
        <v>25137.028928522057</v>
      </c>
      <c r="F51" s="2"/>
      <c r="G51" s="2">
        <f t="shared" si="31"/>
        <v>26897.03197747684</v>
      </c>
      <c r="H51" s="2">
        <f t="shared" si="12"/>
        <v>43663.820044214335</v>
      </c>
      <c r="I51" s="2">
        <f t="shared" si="13"/>
        <v>206444.62690866421</v>
      </c>
      <c r="J51" s="2">
        <f t="shared" si="14"/>
        <v>19467.596882007172</v>
      </c>
      <c r="K51" s="6">
        <f t="shared" si="15"/>
        <v>0.10411758534848749</v>
      </c>
      <c r="L51" s="7">
        <f t="shared" si="16"/>
        <v>1.1041175853484875</v>
      </c>
      <c r="N51">
        <f t="shared" si="17"/>
        <v>2004</v>
      </c>
      <c r="O51" s="2">
        <f t="shared" si="18"/>
        <v>6761.682731826475</v>
      </c>
      <c r="P51" s="2"/>
      <c r="Q51" s="2"/>
      <c r="R51">
        <f t="shared" si="19"/>
        <v>2004</v>
      </c>
      <c r="S51" s="2">
        <f>B51-($O51/5)</f>
        <v>43255.496040547303</v>
      </c>
      <c r="T51" s="2"/>
      <c r="U51" s="2">
        <f t="shared" si="48"/>
        <v>64786.576825173084</v>
      </c>
      <c r="V51" s="2">
        <f t="shared" si="48"/>
        <v>23784.692382156762</v>
      </c>
      <c r="W51" s="2"/>
      <c r="X51" s="2">
        <f t="shared" si="44"/>
        <v>25544.695431111544</v>
      </c>
      <c r="Y51" s="2">
        <f t="shared" si="44"/>
        <v>42311.48349784904</v>
      </c>
      <c r="Z51" s="2">
        <f t="shared" si="22"/>
        <v>199682.94417683774</v>
      </c>
      <c r="AA51" s="2">
        <f t="shared" si="23"/>
        <v>19335.014867657621</v>
      </c>
      <c r="AB51" s="6">
        <f t="shared" si="24"/>
        <v>0.10720951963086069</v>
      </c>
      <c r="AC51" s="7">
        <f t="shared" si="25"/>
        <v>1.1072095196308607</v>
      </c>
      <c r="AD51" s="2">
        <f t="shared" si="26"/>
        <v>0</v>
      </c>
      <c r="AF51">
        <f t="shared" si="7"/>
        <v>2004</v>
      </c>
      <c r="AG51" s="6">
        <f t="shared" si="3"/>
        <v>0.21662088476740685</v>
      </c>
      <c r="AH51" s="7"/>
      <c r="AI51" s="6">
        <f>U51/$Z51</f>
        <v>0.32444722353351607</v>
      </c>
      <c r="AJ51" s="6">
        <f>V51/$Z51</f>
        <v>0.1191122881335985</v>
      </c>
      <c r="AK51" s="7"/>
      <c r="AL51" s="6">
        <f t="shared" si="45"/>
        <v>0.12792627600927875</v>
      </c>
      <c r="AM51" s="6">
        <f t="shared" si="8"/>
        <v>0.2118933275561998</v>
      </c>
      <c r="AN51" s="6">
        <f t="shared" si="27"/>
        <v>1</v>
      </c>
      <c r="AO51" s="7">
        <f t="shared" si="28"/>
        <v>0.78810667244380017</v>
      </c>
      <c r="AP51" s="7">
        <f t="shared" si="29"/>
        <v>0</v>
      </c>
    </row>
    <row r="52" spans="1:42" x14ac:dyDescent="0.25">
      <c r="A52">
        <f t="shared" si="5"/>
        <v>2005</v>
      </c>
      <c r="B52" s="2">
        <f t="shared" si="49"/>
        <v>45318.783201681414</v>
      </c>
      <c r="C52" s="2"/>
      <c r="D52" s="2">
        <f t="shared" ref="D52:D64" si="50">U51*(1+(D16/100))</f>
        <v>73811.994842687956</v>
      </c>
      <c r="E52" s="2">
        <f t="shared" ref="E52:E64" si="51">V51*(1+(E16/100))</f>
        <v>25535.959282254968</v>
      </c>
      <c r="F52" s="2"/>
      <c r="G52" s="2">
        <f t="shared" si="31"/>
        <v>29522.259956689923</v>
      </c>
      <c r="H52" s="2">
        <f t="shared" si="12"/>
        <v>43326.959101797416</v>
      </c>
      <c r="I52" s="2">
        <f t="shared" si="13"/>
        <v>217515.95638511167</v>
      </c>
      <c r="J52" s="2">
        <f t="shared" si="14"/>
        <v>11071.329476447456</v>
      </c>
      <c r="K52" s="6">
        <f t="shared" si="15"/>
        <v>5.3628566857037471E-2</v>
      </c>
      <c r="L52" s="7">
        <f t="shared" si="16"/>
        <v>1.0536285668570375</v>
      </c>
      <c r="N52">
        <f t="shared" si="17"/>
        <v>2005</v>
      </c>
      <c r="O52" s="2">
        <f t="shared" si="18"/>
        <v>6984.8182619767485</v>
      </c>
      <c r="P52" s="2"/>
      <c r="Q52" s="2"/>
      <c r="R52">
        <f t="shared" si="19"/>
        <v>2005</v>
      </c>
      <c r="S52" s="2">
        <f t="shared" ref="S52:S64" si="52">B52-($O52/5)</f>
        <v>43921.819549286061</v>
      </c>
      <c r="T52" s="2"/>
      <c r="U52" s="2">
        <f t="shared" ref="U52:V64" si="53">D52-($O52/5)</f>
        <v>72415.031190292604</v>
      </c>
      <c r="V52" s="2">
        <f t="shared" si="53"/>
        <v>24138.995629859619</v>
      </c>
      <c r="W52" s="2"/>
      <c r="X52" s="2">
        <f t="shared" ref="X52:Y64" si="54">G52-($O52/5)</f>
        <v>28125.296304294574</v>
      </c>
      <c r="Y52" s="2">
        <f t="shared" si="54"/>
        <v>41929.995449402064</v>
      </c>
      <c r="Z52" s="2">
        <f t="shared" si="22"/>
        <v>210531.13812313491</v>
      </c>
      <c r="AA52" s="2">
        <f t="shared" si="23"/>
        <v>10848.193946297164</v>
      </c>
      <c r="AB52" s="6">
        <f t="shared" si="24"/>
        <v>5.4327093337977243E-2</v>
      </c>
      <c r="AC52" s="7">
        <f t="shared" si="25"/>
        <v>1.0543270933379771</v>
      </c>
      <c r="AD52" s="2">
        <f t="shared" si="26"/>
        <v>0</v>
      </c>
      <c r="AF52">
        <f t="shared" si="7"/>
        <v>2005</v>
      </c>
      <c r="AG52" s="6">
        <f t="shared" si="3"/>
        <v>0.20862386410316738</v>
      </c>
      <c r="AH52" s="7"/>
      <c r="AI52" s="6">
        <f t="shared" ref="AI52:AJ64" si="55">U52/$Z52</f>
        <v>0.34396351929631752</v>
      </c>
      <c r="AJ52" s="6">
        <f t="shared" si="55"/>
        <v>0.11465760288504813</v>
      </c>
      <c r="AK52" s="7"/>
      <c r="AL52" s="6">
        <f t="shared" si="45"/>
        <v>0.13359209737347605</v>
      </c>
      <c r="AM52" s="6">
        <f t="shared" si="8"/>
        <v>0.19916291634199096</v>
      </c>
      <c r="AN52" s="6">
        <f t="shared" si="27"/>
        <v>1</v>
      </c>
      <c r="AO52" s="7">
        <f t="shared" si="28"/>
        <v>0.80083708365800899</v>
      </c>
      <c r="AP52" s="7">
        <f t="shared" si="29"/>
        <v>0</v>
      </c>
    </row>
    <row r="53" spans="1:42" x14ac:dyDescent="0.25">
      <c r="A53">
        <f t="shared" si="5"/>
        <v>2006</v>
      </c>
      <c r="B53" s="2">
        <f t="shared" si="49"/>
        <v>50791.192126794405</v>
      </c>
      <c r="C53" s="2"/>
      <c r="D53" s="2">
        <f t="shared" si="50"/>
        <v>82261.302981236688</v>
      </c>
      <c r="E53" s="2">
        <f t="shared" si="51"/>
        <v>27918.196785670443</v>
      </c>
      <c r="F53" s="2"/>
      <c r="G53" s="2">
        <f t="shared" si="31"/>
        <v>35617.031480869518</v>
      </c>
      <c r="H53" s="2">
        <f t="shared" si="12"/>
        <v>43720.406255091533</v>
      </c>
      <c r="I53" s="2">
        <f t="shared" si="13"/>
        <v>240308.12962966258</v>
      </c>
      <c r="J53" s="2">
        <f t="shared" si="14"/>
        <v>22792.173244550911</v>
      </c>
      <c r="K53" s="6">
        <f t="shared" si="15"/>
        <v>0.10478391389456231</v>
      </c>
      <c r="L53" s="7">
        <f t="shared" si="16"/>
        <v>1.1047839138945623</v>
      </c>
      <c r="N53">
        <f t="shared" si="17"/>
        <v>2006</v>
      </c>
      <c r="O53" s="2">
        <f t="shared" si="18"/>
        <v>7215.3172646219809</v>
      </c>
      <c r="P53" s="2"/>
      <c r="Q53" s="2"/>
      <c r="R53">
        <f t="shared" si="19"/>
        <v>2006</v>
      </c>
      <c r="S53" s="2">
        <f t="shared" si="52"/>
        <v>49348.128673870007</v>
      </c>
      <c r="T53" s="2"/>
      <c r="U53" s="2">
        <f t="shared" si="53"/>
        <v>80818.23952831229</v>
      </c>
      <c r="V53" s="2">
        <f t="shared" si="53"/>
        <v>26475.133332746045</v>
      </c>
      <c r="W53" s="2"/>
      <c r="X53" s="2">
        <f t="shared" si="54"/>
        <v>34173.96802794512</v>
      </c>
      <c r="Y53" s="2">
        <f t="shared" si="54"/>
        <v>42277.342802167135</v>
      </c>
      <c r="Z53" s="2">
        <f t="shared" si="22"/>
        <v>233092.81236504059</v>
      </c>
      <c r="AA53" s="2">
        <f t="shared" si="23"/>
        <v>22561.674241905683</v>
      </c>
      <c r="AB53" s="6">
        <f t="shared" si="24"/>
        <v>0.10716549790705956</v>
      </c>
      <c r="AC53" s="7">
        <f t="shared" si="25"/>
        <v>1.1071654979070595</v>
      </c>
      <c r="AD53" s="2">
        <f t="shared" si="26"/>
        <v>0</v>
      </c>
      <c r="AF53">
        <f t="shared" si="7"/>
        <v>2006</v>
      </c>
      <c r="AG53" s="6">
        <f t="shared" si="3"/>
        <v>0.21171021179575106</v>
      </c>
      <c r="AH53" s="7"/>
      <c r="AI53" s="6">
        <f t="shared" si="55"/>
        <v>0.34672128543262393</v>
      </c>
      <c r="AJ53" s="6">
        <f t="shared" si="55"/>
        <v>0.11358193787324522</v>
      </c>
      <c r="AK53" s="7"/>
      <c r="AL53" s="6">
        <f t="shared" si="45"/>
        <v>0.14661099019400975</v>
      </c>
      <c r="AM53" s="6">
        <f t="shared" si="8"/>
        <v>0.18137557470437007</v>
      </c>
      <c r="AN53" s="6">
        <f t="shared" si="27"/>
        <v>1.0000000000000002</v>
      </c>
      <c r="AO53" s="7">
        <f t="shared" si="28"/>
        <v>0.81862442529563006</v>
      </c>
      <c r="AP53" s="7">
        <f t="shared" si="29"/>
        <v>0</v>
      </c>
    </row>
    <row r="54" spans="1:42" x14ac:dyDescent="0.25">
      <c r="A54">
        <f t="shared" si="5"/>
        <v>2007</v>
      </c>
      <c r="B54" s="2">
        <f t="shared" si="49"/>
        <v>52007.992809391602</v>
      </c>
      <c r="C54" s="2"/>
      <c r="D54" s="2">
        <f t="shared" si="50"/>
        <v>85684.305730311986</v>
      </c>
      <c r="E54" s="2">
        <f t="shared" si="51"/>
        <v>26781.185874072591</v>
      </c>
      <c r="F54" s="2"/>
      <c r="G54" s="2">
        <f t="shared" si="31"/>
        <v>39478.451345242756</v>
      </c>
      <c r="H54" s="2">
        <f t="shared" si="12"/>
        <v>45202.934924077097</v>
      </c>
      <c r="I54" s="2">
        <f t="shared" si="13"/>
        <v>249154.87068309606</v>
      </c>
      <c r="J54" s="2">
        <f t="shared" si="14"/>
        <v>8846.7410534334776</v>
      </c>
      <c r="K54" s="6">
        <f t="shared" si="15"/>
        <v>3.6814156337811529E-2</v>
      </c>
      <c r="L54" s="7">
        <f t="shared" si="16"/>
        <v>1.0368141563378115</v>
      </c>
      <c r="N54">
        <f t="shared" si="17"/>
        <v>2007</v>
      </c>
      <c r="O54" s="2">
        <f t="shared" si="18"/>
        <v>7395.7001962375298</v>
      </c>
      <c r="P54" s="2"/>
      <c r="Q54" s="2"/>
      <c r="R54">
        <f t="shared" si="19"/>
        <v>2007</v>
      </c>
      <c r="S54" s="2">
        <f t="shared" si="52"/>
        <v>50528.852770144098</v>
      </c>
      <c r="T54" s="2"/>
      <c r="U54" s="2">
        <f t="shared" si="53"/>
        <v>84205.165691064482</v>
      </c>
      <c r="V54" s="2">
        <f t="shared" si="53"/>
        <v>25302.045834825087</v>
      </c>
      <c r="W54" s="2"/>
      <c r="X54" s="2">
        <f t="shared" si="54"/>
        <v>37999.311305995252</v>
      </c>
      <c r="Y54" s="2">
        <f t="shared" si="54"/>
        <v>43723.794884829593</v>
      </c>
      <c r="Z54" s="2">
        <f t="shared" si="22"/>
        <v>241759.17048685852</v>
      </c>
      <c r="AA54" s="2">
        <f t="shared" si="23"/>
        <v>8666.3581218179315</v>
      </c>
      <c r="AB54" s="6">
        <f t="shared" si="24"/>
        <v>3.7179859961729636E-2</v>
      </c>
      <c r="AC54" s="7">
        <f t="shared" si="25"/>
        <v>1.0371798599617297</v>
      </c>
      <c r="AD54" s="2">
        <f t="shared" si="26"/>
        <v>0</v>
      </c>
      <c r="AF54">
        <f t="shared" si="7"/>
        <v>2007</v>
      </c>
      <c r="AG54" s="6">
        <f t="shared" si="3"/>
        <v>0.20900490628085908</v>
      </c>
      <c r="AH54" s="7"/>
      <c r="AI54" s="6">
        <f t="shared" si="55"/>
        <v>0.34830184733630065</v>
      </c>
      <c r="AJ54" s="6">
        <f t="shared" si="55"/>
        <v>0.10465806026663402</v>
      </c>
      <c r="AK54" s="7"/>
      <c r="AL54" s="6">
        <f t="shared" si="45"/>
        <v>0.1571783656829713</v>
      </c>
      <c r="AM54" s="6">
        <f t="shared" si="8"/>
        <v>0.18085682043323489</v>
      </c>
      <c r="AN54" s="6">
        <f t="shared" si="27"/>
        <v>1</v>
      </c>
      <c r="AO54" s="7">
        <f t="shared" si="28"/>
        <v>0.81914317956676508</v>
      </c>
      <c r="AP54" s="7">
        <f t="shared" si="29"/>
        <v>0</v>
      </c>
    </row>
    <row r="55" spans="1:42" x14ac:dyDescent="0.25">
      <c r="A55">
        <f t="shared" si="5"/>
        <v>2008</v>
      </c>
      <c r="B55" s="2">
        <f t="shared" si="49"/>
        <v>31823.071474636748</v>
      </c>
      <c r="C55" s="2"/>
      <c r="D55" s="2">
        <f t="shared" si="50"/>
        <v>48987.197192433676</v>
      </c>
      <c r="E55" s="2">
        <f t="shared" si="51"/>
        <v>16175.597902203677</v>
      </c>
      <c r="F55" s="2"/>
      <c r="G55" s="2">
        <f t="shared" si="31"/>
        <v>21241.235026938284</v>
      </c>
      <c r="H55" s="2">
        <f t="shared" si="12"/>
        <v>45931.846526513487</v>
      </c>
      <c r="I55" s="2">
        <f t="shared" si="13"/>
        <v>164158.94812272588</v>
      </c>
      <c r="J55" s="2">
        <f t="shared" si="14"/>
        <v>-84995.922560370178</v>
      </c>
      <c r="K55" s="6">
        <f t="shared" si="15"/>
        <v>-0.34113690945451275</v>
      </c>
      <c r="L55" s="7">
        <f t="shared" si="16"/>
        <v>0.65886309054548731</v>
      </c>
      <c r="N55">
        <f t="shared" si="17"/>
        <v>2008</v>
      </c>
      <c r="O55" s="2">
        <f t="shared" si="18"/>
        <v>7698.9239042832678</v>
      </c>
      <c r="P55" s="2"/>
      <c r="Q55" s="2"/>
      <c r="R55">
        <f t="shared" si="19"/>
        <v>2008</v>
      </c>
      <c r="S55" s="2">
        <f t="shared" si="52"/>
        <v>30283.286693780094</v>
      </c>
      <c r="T55" s="2"/>
      <c r="U55" s="2">
        <f t="shared" si="53"/>
        <v>47447.412411577025</v>
      </c>
      <c r="V55" s="2">
        <f t="shared" si="53"/>
        <v>14635.813121347024</v>
      </c>
      <c r="W55" s="2"/>
      <c r="X55" s="2">
        <f t="shared" si="54"/>
        <v>19701.450246081629</v>
      </c>
      <c r="Y55" s="2">
        <f t="shared" si="54"/>
        <v>44392.061745656836</v>
      </c>
      <c r="Z55" s="2">
        <f t="shared" si="22"/>
        <v>156460.02421844259</v>
      </c>
      <c r="AA55" s="2">
        <f t="shared" si="23"/>
        <v>-85299.146268415934</v>
      </c>
      <c r="AB55" s="6">
        <f t="shared" si="24"/>
        <v>-0.35282693143196653</v>
      </c>
      <c r="AC55" s="7">
        <f t="shared" si="25"/>
        <v>0.64717306856803347</v>
      </c>
      <c r="AD55" s="2">
        <f t="shared" si="26"/>
        <v>0</v>
      </c>
      <c r="AF55">
        <f t="shared" si="7"/>
        <v>2008</v>
      </c>
      <c r="AG55" s="6">
        <f t="shared" ref="AG55:AG64" si="56">S55/$Z55</f>
        <v>0.19355286978289038</v>
      </c>
      <c r="AH55" s="7"/>
      <c r="AI55" s="6">
        <f t="shared" si="55"/>
        <v>0.30325581661251083</v>
      </c>
      <c r="AJ55" s="6">
        <f t="shared" si="55"/>
        <v>9.3543467057841861E-2</v>
      </c>
      <c r="AK55" s="7"/>
      <c r="AL55" s="6">
        <f t="shared" si="45"/>
        <v>0.12592002554323609</v>
      </c>
      <c r="AM55" s="6">
        <f t="shared" si="8"/>
        <v>0.28372782100352101</v>
      </c>
      <c r="AN55" s="6">
        <f t="shared" si="27"/>
        <v>1.0000000000000002</v>
      </c>
      <c r="AO55" s="7">
        <f t="shared" si="28"/>
        <v>0.71627217899647921</v>
      </c>
      <c r="AP55" s="7">
        <f t="shared" si="29"/>
        <v>0</v>
      </c>
    </row>
    <row r="56" spans="1:42" x14ac:dyDescent="0.25">
      <c r="A56">
        <f t="shared" si="5"/>
        <v>2009</v>
      </c>
      <c r="B56" s="2">
        <f t="shared" si="49"/>
        <v>38305.329338962438</v>
      </c>
      <c r="C56" s="2"/>
      <c r="D56" s="2">
        <f t="shared" si="50"/>
        <v>66529.812735265077</v>
      </c>
      <c r="E56" s="2">
        <f t="shared" si="51"/>
        <v>19921.976104515143</v>
      </c>
      <c r="F56" s="2"/>
      <c r="G56" s="2">
        <f t="shared" si="31"/>
        <v>26937.201877960029</v>
      </c>
      <c r="H56" s="2">
        <f t="shared" si="12"/>
        <v>47024.511007174282</v>
      </c>
      <c r="I56" s="2">
        <f t="shared" si="13"/>
        <v>198718.83106387698</v>
      </c>
      <c r="J56" s="2">
        <f>I56-I55</f>
        <v>34559.882941151096</v>
      </c>
      <c r="K56" s="6">
        <f>(J56/I55)</f>
        <v>0.21052695169144231</v>
      </c>
      <c r="L56" s="7">
        <f t="shared" si="16"/>
        <v>1.2105269516914423</v>
      </c>
      <c r="N56">
        <f t="shared" si="17"/>
        <v>2009</v>
      </c>
      <c r="O56" s="2">
        <f t="shared" si="18"/>
        <v>7698.9239042832678</v>
      </c>
      <c r="P56" s="2"/>
      <c r="Q56" s="2"/>
      <c r="R56">
        <f t="shared" si="19"/>
        <v>2009</v>
      </c>
      <c r="S56" s="2">
        <f t="shared" si="52"/>
        <v>36765.544558105787</v>
      </c>
      <c r="T56" s="2"/>
      <c r="U56" s="2">
        <f t="shared" si="53"/>
        <v>64990.027954408426</v>
      </c>
      <c r="V56" s="2">
        <f t="shared" si="53"/>
        <v>18382.191323658488</v>
      </c>
      <c r="W56" s="2"/>
      <c r="X56" s="2">
        <f t="shared" si="54"/>
        <v>25397.417097103375</v>
      </c>
      <c r="Y56" s="2">
        <f t="shared" si="54"/>
        <v>45484.726226317631</v>
      </c>
      <c r="Z56" s="2">
        <f t="shared" si="22"/>
        <v>191019.90715959371</v>
      </c>
      <c r="AA56" s="2">
        <f>Z56-Z55</f>
        <v>34559.882941151125</v>
      </c>
      <c r="AB56" s="6">
        <f>(AA56/Z55)</f>
        <v>0.22088634533828361</v>
      </c>
      <c r="AC56" s="7">
        <f t="shared" si="25"/>
        <v>1.2208863453382837</v>
      </c>
      <c r="AD56" s="2">
        <f t="shared" si="26"/>
        <v>0</v>
      </c>
      <c r="AF56">
        <f t="shared" si="7"/>
        <v>2009</v>
      </c>
      <c r="AG56" s="6">
        <f t="shared" si="56"/>
        <v>0.19246970174364514</v>
      </c>
      <c r="AH56" s="7"/>
      <c r="AI56" s="6">
        <f t="shared" si="55"/>
        <v>0.34022646603063428</v>
      </c>
      <c r="AJ56" s="6">
        <f t="shared" si="55"/>
        <v>9.6231809537528967E-2</v>
      </c>
      <c r="AK56" s="7"/>
      <c r="AL56" s="6">
        <f t="shared" si="45"/>
        <v>0.13295691257919148</v>
      </c>
      <c r="AM56" s="6">
        <f t="shared" si="8"/>
        <v>0.23811511010900008</v>
      </c>
      <c r="AN56" s="6">
        <f t="shared" si="27"/>
        <v>1</v>
      </c>
      <c r="AO56" s="7">
        <f t="shared" si="28"/>
        <v>0.76188488989099989</v>
      </c>
      <c r="AP56" s="7">
        <f t="shared" si="29"/>
        <v>0</v>
      </c>
    </row>
    <row r="57" spans="1:42" x14ac:dyDescent="0.25">
      <c r="A57">
        <f t="shared" si="5"/>
        <v>2010</v>
      </c>
      <c r="B57" s="2">
        <f t="shared" si="49"/>
        <v>42247.287251719361</v>
      </c>
      <c r="C57" s="2"/>
      <c r="D57" s="2">
        <f t="shared" si="50"/>
        <v>81536.489071600809</v>
      </c>
      <c r="E57" s="2">
        <f t="shared" si="51"/>
        <v>23477.734758576622</v>
      </c>
      <c r="F57" s="2"/>
      <c r="G57" s="2">
        <f t="shared" si="31"/>
        <v>28221.609878301268</v>
      </c>
      <c r="H57" s="2">
        <f t="shared" si="12"/>
        <v>48404.845650047224</v>
      </c>
      <c r="I57" s="2">
        <f t="shared" si="13"/>
        <v>223887.96661024529</v>
      </c>
      <c r="J57" s="2">
        <f t="shared" si="14"/>
        <v>25169.135546368314</v>
      </c>
      <c r="K57" s="6">
        <f t="shared" si="15"/>
        <v>0.12665702294855916</v>
      </c>
      <c r="L57" s="7">
        <f t="shared" si="16"/>
        <v>1.1266570229485591</v>
      </c>
      <c r="N57">
        <f t="shared" si="17"/>
        <v>2010</v>
      </c>
      <c r="O57" s="2">
        <f t="shared" si="18"/>
        <v>7914.4937736031998</v>
      </c>
      <c r="P57" s="2"/>
      <c r="Q57" s="2"/>
      <c r="R57">
        <f t="shared" si="19"/>
        <v>2010</v>
      </c>
      <c r="S57" s="2">
        <f t="shared" si="52"/>
        <v>40664.388496998719</v>
      </c>
      <c r="T57" s="2"/>
      <c r="U57" s="2">
        <f t="shared" si="53"/>
        <v>79953.590316880174</v>
      </c>
      <c r="V57" s="2">
        <f t="shared" si="53"/>
        <v>21894.83600385598</v>
      </c>
      <c r="W57" s="2"/>
      <c r="X57" s="2">
        <f t="shared" si="54"/>
        <v>26638.711123580626</v>
      </c>
      <c r="Y57" s="2">
        <f t="shared" si="54"/>
        <v>46821.946895326582</v>
      </c>
      <c r="Z57" s="2">
        <f t="shared" si="22"/>
        <v>215973.47283664209</v>
      </c>
      <c r="AA57" s="2">
        <f t="shared" ref="AA57:AA64" si="57">Z57-Z56</f>
        <v>24953.565677048377</v>
      </c>
      <c r="AB57" s="6">
        <f t="shared" ref="AB57:AB64" si="58">(AA57/Z56)</f>
        <v>0.13063332533294617</v>
      </c>
      <c r="AC57" s="7">
        <f t="shared" si="25"/>
        <v>1.1306333253329461</v>
      </c>
      <c r="AD57" s="2">
        <f t="shared" si="26"/>
        <v>0</v>
      </c>
      <c r="AF57">
        <f t="shared" si="7"/>
        <v>2010</v>
      </c>
      <c r="AG57" s="6">
        <f t="shared" si="56"/>
        <v>0.1882841812140347</v>
      </c>
      <c r="AH57" s="7"/>
      <c r="AI57" s="6">
        <f t="shared" si="55"/>
        <v>0.37020097545662672</v>
      </c>
      <c r="AJ57" s="6">
        <f t="shared" si="55"/>
        <v>0.10137743175717133</v>
      </c>
      <c r="AK57" s="7"/>
      <c r="AL57" s="6">
        <f t="shared" si="45"/>
        <v>0.12334251412315624</v>
      </c>
      <c r="AM57" s="6">
        <f t="shared" si="8"/>
        <v>0.21679489744901098</v>
      </c>
      <c r="AN57" s="6">
        <f t="shared" si="27"/>
        <v>1</v>
      </c>
      <c r="AO57" s="7">
        <f t="shared" si="28"/>
        <v>0.78320510255098896</v>
      </c>
      <c r="AP57" s="7">
        <f t="shared" si="29"/>
        <v>0</v>
      </c>
    </row>
    <row r="58" spans="1:42" x14ac:dyDescent="0.25">
      <c r="A58">
        <f t="shared" si="5"/>
        <v>2011</v>
      </c>
      <c r="B58" s="2">
        <f t="shared" si="49"/>
        <v>41465.476950389595</v>
      </c>
      <c r="C58" s="2"/>
      <c r="D58" s="2">
        <f t="shared" si="50"/>
        <v>78266.569561194003</v>
      </c>
      <c r="E58" s="2">
        <f t="shared" si="51"/>
        <v>21281.780595748012</v>
      </c>
      <c r="F58" s="2"/>
      <c r="G58" s="2">
        <f t="shared" si="31"/>
        <v>22760.114783987287</v>
      </c>
      <c r="H58" s="2">
        <f t="shared" si="12"/>
        <v>50361.686080613275</v>
      </c>
      <c r="I58" s="2">
        <f t="shared" si="13"/>
        <v>214135.62797193218</v>
      </c>
      <c r="J58" s="2">
        <f t="shared" si="14"/>
        <v>-9752.3386383131146</v>
      </c>
      <c r="K58" s="6">
        <f t="shared" si="15"/>
        <v>-4.3559012062896821E-2</v>
      </c>
      <c r="L58" s="7">
        <f t="shared" si="16"/>
        <v>0.95644098793710319</v>
      </c>
      <c r="N58">
        <f t="shared" si="17"/>
        <v>2011</v>
      </c>
      <c r="O58" s="2">
        <f t="shared" si="18"/>
        <v>8025.2966864336449</v>
      </c>
      <c r="P58" s="2"/>
      <c r="Q58" s="2"/>
      <c r="R58">
        <f t="shared" si="19"/>
        <v>2011</v>
      </c>
      <c r="S58" s="2">
        <f t="shared" si="52"/>
        <v>39860.417613102865</v>
      </c>
      <c r="T58" s="2"/>
      <c r="U58" s="2">
        <f t="shared" si="53"/>
        <v>76661.510223907273</v>
      </c>
      <c r="V58" s="2">
        <f t="shared" si="53"/>
        <v>19676.721258461283</v>
      </c>
      <c r="W58" s="2"/>
      <c r="X58" s="2">
        <f t="shared" si="54"/>
        <v>21155.055446700557</v>
      </c>
      <c r="Y58" s="2">
        <f t="shared" si="54"/>
        <v>48756.626743326546</v>
      </c>
      <c r="Z58" s="2">
        <f t="shared" si="22"/>
        <v>206110.33128549851</v>
      </c>
      <c r="AA58" s="2">
        <f t="shared" si="57"/>
        <v>-9863.1415511435771</v>
      </c>
      <c r="AB58" s="6">
        <f t="shared" si="58"/>
        <v>-4.5668300933438502E-2</v>
      </c>
      <c r="AC58" s="7">
        <f t="shared" si="25"/>
        <v>0.95433169906656146</v>
      </c>
      <c r="AD58" s="2">
        <f t="shared" si="26"/>
        <v>0</v>
      </c>
      <c r="AF58">
        <f t="shared" si="7"/>
        <v>2011</v>
      </c>
      <c r="AG58" s="6">
        <f t="shared" si="56"/>
        <v>0.19339359344335477</v>
      </c>
      <c r="AH58" s="7"/>
      <c r="AI58" s="6">
        <f t="shared" si="55"/>
        <v>0.37194404446285517</v>
      </c>
      <c r="AJ58" s="6">
        <f t="shared" si="55"/>
        <v>9.5466933344576579E-2</v>
      </c>
      <c r="AK58" s="7"/>
      <c r="AL58" s="6">
        <f t="shared" si="45"/>
        <v>0.10263947136835727</v>
      </c>
      <c r="AM58" s="6">
        <f t="shared" si="8"/>
        <v>0.23655595738085625</v>
      </c>
      <c r="AN58" s="6">
        <f t="shared" si="27"/>
        <v>1</v>
      </c>
      <c r="AO58" s="7">
        <f t="shared" si="28"/>
        <v>0.76344404261914378</v>
      </c>
      <c r="AP58" s="7">
        <f t="shared" si="29"/>
        <v>0</v>
      </c>
    </row>
    <row r="59" spans="1:42" x14ac:dyDescent="0.25">
      <c r="A59">
        <f t="shared" si="5"/>
        <v>2012</v>
      </c>
      <c r="B59" s="2">
        <f t="shared" si="49"/>
        <v>46166.335679495736</v>
      </c>
      <c r="C59" s="2"/>
      <c r="D59" s="2">
        <f t="shared" si="50"/>
        <v>88774.028839284612</v>
      </c>
      <c r="E59" s="2">
        <f t="shared" si="51"/>
        <v>23226.401773487702</v>
      </c>
      <c r="F59" s="2"/>
      <c r="G59" s="2">
        <f t="shared" si="31"/>
        <v>24992.58250473204</v>
      </c>
      <c r="H59" s="2">
        <f t="shared" si="12"/>
        <v>50731.270126431271</v>
      </c>
      <c r="I59" s="2">
        <f t="shared" si="13"/>
        <v>233890.61892343138</v>
      </c>
      <c r="J59" s="2">
        <f t="shared" si="14"/>
        <v>19754.990951499203</v>
      </c>
      <c r="K59" s="6">
        <f t="shared" si="15"/>
        <v>9.2254573134782539E-2</v>
      </c>
      <c r="L59" s="7">
        <f t="shared" si="16"/>
        <v>1.0922545731347826</v>
      </c>
      <c r="N59">
        <f t="shared" si="17"/>
        <v>2012</v>
      </c>
      <c r="O59" s="2">
        <f t="shared" si="18"/>
        <v>8266.0555870266544</v>
      </c>
      <c r="P59" s="2"/>
      <c r="Q59" s="2"/>
      <c r="R59">
        <f t="shared" si="19"/>
        <v>2012</v>
      </c>
      <c r="S59" s="2">
        <f t="shared" si="52"/>
        <v>44513.124562090408</v>
      </c>
      <c r="T59" s="2"/>
      <c r="U59" s="2">
        <f t="shared" si="53"/>
        <v>87120.817721879284</v>
      </c>
      <c r="V59" s="2">
        <f t="shared" si="53"/>
        <v>21573.19065608237</v>
      </c>
      <c r="W59" s="2"/>
      <c r="X59" s="2">
        <f t="shared" si="54"/>
        <v>23339.371387326708</v>
      </c>
      <c r="Y59" s="2">
        <f t="shared" si="54"/>
        <v>49078.059009025943</v>
      </c>
      <c r="Z59" s="2">
        <f t="shared" si="22"/>
        <v>225624.56333640474</v>
      </c>
      <c r="AA59" s="2">
        <f t="shared" si="57"/>
        <v>19514.232050906227</v>
      </c>
      <c r="AB59" s="6">
        <f t="shared" si="58"/>
        <v>9.4678573020561665E-2</v>
      </c>
      <c r="AC59" s="7">
        <f t="shared" si="25"/>
        <v>1.0946785730205617</v>
      </c>
      <c r="AD59" s="2">
        <f t="shared" si="26"/>
        <v>0</v>
      </c>
      <c r="AF59">
        <f t="shared" si="7"/>
        <v>2012</v>
      </c>
      <c r="AG59" s="6">
        <f t="shared" si="56"/>
        <v>0.19728846852424323</v>
      </c>
      <c r="AH59" s="7"/>
      <c r="AI59" s="6">
        <f t="shared" si="55"/>
        <v>0.38613179537541187</v>
      </c>
      <c r="AJ59" s="6">
        <f t="shared" si="55"/>
        <v>9.5615434494678159E-2</v>
      </c>
      <c r="AK59" s="7"/>
      <c r="AL59" s="6">
        <f t="shared" si="45"/>
        <v>0.10344339748384514</v>
      </c>
      <c r="AM59" s="6">
        <f t="shared" si="8"/>
        <v>0.21752090412182151</v>
      </c>
      <c r="AN59" s="6">
        <f t="shared" si="27"/>
        <v>0.99999999999999978</v>
      </c>
      <c r="AO59" s="7">
        <f t="shared" si="28"/>
        <v>0.78247909587817832</v>
      </c>
      <c r="AP59" s="7">
        <f t="shared" si="29"/>
        <v>0</v>
      </c>
    </row>
    <row r="60" spans="1:42" x14ac:dyDescent="0.25">
      <c r="A60">
        <f t="shared" si="5"/>
        <v>2013</v>
      </c>
      <c r="B60" s="2">
        <f t="shared" si="49"/>
        <v>58837.448046171106</v>
      </c>
      <c r="C60" s="2"/>
      <c r="D60" s="2">
        <f t="shared" si="50"/>
        <v>117613.10392453705</v>
      </c>
      <c r="E60" s="2">
        <f t="shared" si="51"/>
        <v>29689.024980900555</v>
      </c>
      <c r="F60" s="2"/>
      <c r="G60" s="2">
        <f t="shared" si="31"/>
        <v>26849.612843980642</v>
      </c>
      <c r="H60" s="2">
        <f t="shared" si="12"/>
        <v>47968.89487542196</v>
      </c>
      <c r="I60" s="2">
        <f t="shared" si="13"/>
        <v>280958.08467101131</v>
      </c>
      <c r="J60" s="2">
        <f t="shared" si="14"/>
        <v>47067.465747579932</v>
      </c>
      <c r="K60" s="6">
        <f t="shared" si="15"/>
        <v>0.20123708237733287</v>
      </c>
      <c r="L60" s="7">
        <f t="shared" si="16"/>
        <v>1.2012370823773328</v>
      </c>
      <c r="N60">
        <f t="shared" si="17"/>
        <v>2013</v>
      </c>
      <c r="O60" s="2">
        <f t="shared" si="18"/>
        <v>8414.8445875931338</v>
      </c>
      <c r="P60" s="2"/>
      <c r="Q60" s="2"/>
      <c r="R60">
        <f t="shared" si="19"/>
        <v>2013</v>
      </c>
      <c r="S60" s="2">
        <f t="shared" si="52"/>
        <v>57154.479128652478</v>
      </c>
      <c r="T60" s="2"/>
      <c r="U60" s="2">
        <f t="shared" si="53"/>
        <v>115930.13500701843</v>
      </c>
      <c r="V60" s="2">
        <f t="shared" si="53"/>
        <v>28006.056063381926</v>
      </c>
      <c r="W60" s="2"/>
      <c r="X60" s="2">
        <f t="shared" si="54"/>
        <v>25166.643926462013</v>
      </c>
      <c r="Y60" s="2">
        <f t="shared" si="54"/>
        <v>46285.925957903331</v>
      </c>
      <c r="Z60" s="2">
        <f t="shared" si="22"/>
        <v>272543.2400834182</v>
      </c>
      <c r="AA60" s="2">
        <f t="shared" si="57"/>
        <v>46918.676747013466</v>
      </c>
      <c r="AB60" s="6">
        <f t="shared" si="58"/>
        <v>0.20795021629386171</v>
      </c>
      <c r="AC60" s="7">
        <f t="shared" si="25"/>
        <v>1.2079502162938618</v>
      </c>
      <c r="AD60" s="2">
        <f t="shared" si="26"/>
        <v>0</v>
      </c>
      <c r="AF60">
        <f t="shared" si="7"/>
        <v>2013</v>
      </c>
      <c r="AG60" s="6">
        <f t="shared" si="56"/>
        <v>0.20970793152366948</v>
      </c>
      <c r="AH60" s="7"/>
      <c r="AI60" s="6">
        <f t="shared" si="55"/>
        <v>0.42536419164729716</v>
      </c>
      <c r="AJ60" s="6">
        <f t="shared" si="55"/>
        <v>0.10275821207236702</v>
      </c>
      <c r="AK60" s="7"/>
      <c r="AL60" s="6">
        <f t="shared" si="45"/>
        <v>9.2340004172399126E-2</v>
      </c>
      <c r="AM60" s="6">
        <f t="shared" si="8"/>
        <v>0.1698296605842671</v>
      </c>
      <c r="AN60" s="6">
        <f t="shared" si="27"/>
        <v>0.99999999999999978</v>
      </c>
      <c r="AO60" s="7">
        <f t="shared" si="28"/>
        <v>0.83017033941573271</v>
      </c>
      <c r="AP60" s="7">
        <f t="shared" si="29"/>
        <v>0</v>
      </c>
    </row>
    <row r="61" spans="1:42" x14ac:dyDescent="0.25">
      <c r="A61">
        <f t="shared" si="5"/>
        <v>2014</v>
      </c>
      <c r="B61" s="2">
        <f t="shared" si="49"/>
        <v>64876.049258933424</v>
      </c>
      <c r="C61" s="2"/>
      <c r="D61" s="2">
        <f t="shared" si="50"/>
        <v>131696.63336797294</v>
      </c>
      <c r="E61" s="2">
        <f t="shared" si="51"/>
        <v>30070.102395253176</v>
      </c>
      <c r="F61" s="2"/>
      <c r="G61" s="2">
        <f t="shared" si="31"/>
        <v>24099.578223980025</v>
      </c>
      <c r="H61" s="2">
        <f t="shared" si="12"/>
        <v>48951.995293078566</v>
      </c>
      <c r="I61" s="2">
        <f t="shared" si="13"/>
        <v>299694.35853921814</v>
      </c>
      <c r="J61" s="2">
        <f t="shared" si="14"/>
        <v>18736.27386820683</v>
      </c>
      <c r="K61" s="6">
        <f t="shared" si="15"/>
        <v>6.6687078573112166E-2</v>
      </c>
      <c r="L61" s="7">
        <f t="shared" si="16"/>
        <v>1.0666870785731122</v>
      </c>
      <c r="N61">
        <f t="shared" si="17"/>
        <v>2014</v>
      </c>
      <c r="O61" s="2">
        <f t="shared" si="18"/>
        <v>8512.0858336656402</v>
      </c>
      <c r="P61" s="2"/>
      <c r="Q61" s="2"/>
      <c r="R61">
        <f t="shared" si="19"/>
        <v>2014</v>
      </c>
      <c r="S61" s="2">
        <f t="shared" si="52"/>
        <v>63173.6320922003</v>
      </c>
      <c r="T61" s="2"/>
      <c r="U61" s="2">
        <f t="shared" si="53"/>
        <v>129994.21620123982</v>
      </c>
      <c r="V61" s="2">
        <f t="shared" si="53"/>
        <v>28367.685228520048</v>
      </c>
      <c r="W61" s="2"/>
      <c r="X61" s="2">
        <f t="shared" si="54"/>
        <v>22397.161057246896</v>
      </c>
      <c r="Y61" s="2">
        <f t="shared" si="54"/>
        <v>47249.578126345441</v>
      </c>
      <c r="Z61" s="2">
        <f t="shared" si="22"/>
        <v>291182.27270555252</v>
      </c>
      <c r="AA61" s="2">
        <f t="shared" si="57"/>
        <v>18639.032622134313</v>
      </c>
      <c r="AB61" s="6">
        <f t="shared" si="58"/>
        <v>6.838926775960176E-2</v>
      </c>
      <c r="AC61" s="7">
        <f t="shared" si="25"/>
        <v>1.0683892677596019</v>
      </c>
      <c r="AD61" s="2">
        <f t="shared" si="26"/>
        <v>0</v>
      </c>
      <c r="AF61">
        <f t="shared" si="7"/>
        <v>2014</v>
      </c>
      <c r="AG61" s="6">
        <f t="shared" si="56"/>
        <v>0.21695562544112132</v>
      </c>
      <c r="AH61" s="7"/>
      <c r="AI61" s="6">
        <f t="shared" si="55"/>
        <v>0.44643588702493486</v>
      </c>
      <c r="AJ61" s="6">
        <f t="shared" si="55"/>
        <v>9.7422432227547859E-2</v>
      </c>
      <c r="AK61" s="7"/>
      <c r="AL61" s="6">
        <f t="shared" si="45"/>
        <v>7.6918010320962127E-2</v>
      </c>
      <c r="AM61" s="6">
        <f t="shared" si="8"/>
        <v>0.16226804498543376</v>
      </c>
      <c r="AN61" s="6">
        <f t="shared" si="27"/>
        <v>1</v>
      </c>
      <c r="AO61" s="7">
        <f t="shared" si="28"/>
        <v>0.83773195501456621</v>
      </c>
      <c r="AP61" s="7">
        <f t="shared" si="29"/>
        <v>0</v>
      </c>
    </row>
    <row r="62" spans="1:42" x14ac:dyDescent="0.25">
      <c r="A62">
        <f t="shared" si="5"/>
        <v>2015</v>
      </c>
      <c r="B62" s="2">
        <f t="shared" si="49"/>
        <v>63963.3024933528</v>
      </c>
      <c r="C62" s="2"/>
      <c r="D62" s="2">
        <f t="shared" si="50"/>
        <v>128096.30064470173</v>
      </c>
      <c r="E62" s="2">
        <f t="shared" si="51"/>
        <v>27295.386726881989</v>
      </c>
      <c r="F62" s="2"/>
      <c r="G62" s="2">
        <f t="shared" si="31"/>
        <v>21418.405119045208</v>
      </c>
      <c r="H62" s="2">
        <f t="shared" si="12"/>
        <v>47391.326860724475</v>
      </c>
      <c r="I62" s="2">
        <f t="shared" si="13"/>
        <v>288164.72184470616</v>
      </c>
      <c r="J62" s="2">
        <f t="shared" si="14"/>
        <v>-11529.636694511981</v>
      </c>
      <c r="K62" s="6">
        <f t="shared" si="15"/>
        <v>-3.8471317080208595E-2</v>
      </c>
      <c r="L62" s="7">
        <f t="shared" si="16"/>
        <v>0.96152868291979143</v>
      </c>
      <c r="N62">
        <f t="shared" si="17"/>
        <v>2015</v>
      </c>
      <c r="O62" s="2">
        <f t="shared" si="18"/>
        <v>8621.8917409199257</v>
      </c>
      <c r="P62" s="2"/>
      <c r="Q62" s="2"/>
      <c r="R62">
        <f t="shared" si="19"/>
        <v>2015</v>
      </c>
      <c r="S62" s="2">
        <f t="shared" si="52"/>
        <v>62238.924145168814</v>
      </c>
      <c r="T62" s="2"/>
      <c r="U62" s="2">
        <f t="shared" si="53"/>
        <v>126371.92229651775</v>
      </c>
      <c r="V62" s="2">
        <f t="shared" si="53"/>
        <v>25571.008378698003</v>
      </c>
      <c r="W62" s="2"/>
      <c r="X62" s="2">
        <f t="shared" si="54"/>
        <v>19694.026770861223</v>
      </c>
      <c r="Y62" s="2">
        <f t="shared" si="54"/>
        <v>45666.94851254049</v>
      </c>
      <c r="Z62" s="2">
        <f t="shared" si="22"/>
        <v>279542.83010378625</v>
      </c>
      <c r="AA62" s="2">
        <f t="shared" si="57"/>
        <v>-11639.442601766263</v>
      </c>
      <c r="AB62" s="6">
        <f t="shared" si="58"/>
        <v>-3.9973046757335484E-2</v>
      </c>
      <c r="AC62" s="7">
        <f t="shared" si="25"/>
        <v>0.96002695324266452</v>
      </c>
      <c r="AD62" s="2">
        <f t="shared" si="26"/>
        <v>0</v>
      </c>
      <c r="AF62">
        <f t="shared" si="7"/>
        <v>2015</v>
      </c>
      <c r="AG62" s="6">
        <f t="shared" si="56"/>
        <v>0.22264539613504408</v>
      </c>
      <c r="AH62" s="7"/>
      <c r="AI62" s="6">
        <f t="shared" si="55"/>
        <v>0.45206640517161351</v>
      </c>
      <c r="AJ62" s="6">
        <f t="shared" si="55"/>
        <v>9.1474384691620308E-2</v>
      </c>
      <c r="AK62" s="7"/>
      <c r="AL62" s="6">
        <f t="shared" si="45"/>
        <v>7.045083847634151E-2</v>
      </c>
      <c r="AM62" s="6">
        <f t="shared" si="8"/>
        <v>0.1633629755253807</v>
      </c>
      <c r="AN62" s="6">
        <f t="shared" si="27"/>
        <v>1</v>
      </c>
      <c r="AO62" s="7">
        <f t="shared" si="28"/>
        <v>0.8366370244746193</v>
      </c>
      <c r="AP62" s="7">
        <f t="shared" si="29"/>
        <v>0</v>
      </c>
    </row>
    <row r="63" spans="1:42" x14ac:dyDescent="0.25">
      <c r="A63">
        <f t="shared" si="5"/>
        <v>2016</v>
      </c>
      <c r="B63" s="2">
        <f t="shared" si="49"/>
        <v>69595.564979127768</v>
      </c>
      <c r="C63" s="2"/>
      <c r="D63" s="2">
        <f t="shared" si="50"/>
        <v>140361.29409474228</v>
      </c>
      <c r="E63" s="2">
        <f t="shared" si="51"/>
        <v>30217.260601107431</v>
      </c>
      <c r="F63" s="2"/>
      <c r="G63" s="2">
        <f t="shared" si="31"/>
        <v>20609.79901570627</v>
      </c>
      <c r="H63" s="2">
        <f t="shared" si="12"/>
        <v>46808.622225353996</v>
      </c>
      <c r="I63" s="2">
        <f t="shared" si="13"/>
        <v>307592.54091603775</v>
      </c>
      <c r="J63" s="2">
        <f t="shared" si="14"/>
        <v>19427.819071331585</v>
      </c>
      <c r="K63" s="6">
        <f t="shared" si="15"/>
        <v>6.7419144671710937E-2</v>
      </c>
      <c r="L63" s="7">
        <f t="shared" si="16"/>
        <v>1.067419144671711</v>
      </c>
      <c r="N63">
        <f t="shared" si="17"/>
        <v>2016</v>
      </c>
      <c r="O63" s="2">
        <f t="shared" si="18"/>
        <v>8659.8280645799732</v>
      </c>
      <c r="P63" s="2"/>
      <c r="Q63" s="2"/>
      <c r="R63">
        <f t="shared" si="19"/>
        <v>2016</v>
      </c>
      <c r="S63" s="2">
        <f t="shared" si="52"/>
        <v>67863.599366211769</v>
      </c>
      <c r="T63" s="2"/>
      <c r="U63" s="2">
        <f t="shared" si="53"/>
        <v>138629.32848182629</v>
      </c>
      <c r="V63" s="2">
        <f t="shared" si="53"/>
        <v>28485.294988191436</v>
      </c>
      <c r="W63" s="2"/>
      <c r="X63" s="2">
        <f t="shared" si="54"/>
        <v>18877.833402790275</v>
      </c>
      <c r="Y63" s="2">
        <f t="shared" si="54"/>
        <v>45076.656612438004</v>
      </c>
      <c r="Z63" s="2">
        <f t="shared" si="22"/>
        <v>298932.71285145776</v>
      </c>
      <c r="AA63" s="2">
        <f t="shared" si="57"/>
        <v>19389.882747671509</v>
      </c>
      <c r="AB63" s="6">
        <f t="shared" si="58"/>
        <v>6.9362833382178329E-2</v>
      </c>
      <c r="AC63" s="7">
        <f t="shared" si="25"/>
        <v>1.0693628333821783</v>
      </c>
      <c r="AD63" s="2">
        <f t="shared" si="26"/>
        <v>0</v>
      </c>
      <c r="AF63">
        <f t="shared" si="7"/>
        <v>2016</v>
      </c>
      <c r="AG63" s="6">
        <f t="shared" si="56"/>
        <v>0.22701964839804525</v>
      </c>
      <c r="AH63" s="7"/>
      <c r="AI63" s="6">
        <f t="shared" si="55"/>
        <v>0.46374760112223784</v>
      </c>
      <c r="AJ63" s="6">
        <f t="shared" si="55"/>
        <v>9.5289989230272112E-2</v>
      </c>
      <c r="AK63" s="7"/>
      <c r="AL63" s="6">
        <f t="shared" si="45"/>
        <v>6.3150778055430928E-2</v>
      </c>
      <c r="AM63" s="6">
        <f t="shared" si="8"/>
        <v>0.15079198319401391</v>
      </c>
      <c r="AN63" s="6">
        <f t="shared" si="27"/>
        <v>1</v>
      </c>
      <c r="AO63" s="7">
        <f t="shared" si="28"/>
        <v>0.84920801680598612</v>
      </c>
      <c r="AP63" s="7">
        <f t="shared" si="29"/>
        <v>0</v>
      </c>
    </row>
    <row r="64" spans="1:42" x14ac:dyDescent="0.25">
      <c r="A64">
        <f t="shared" si="5"/>
        <v>2017</v>
      </c>
      <c r="B64" s="2">
        <f t="shared" si="49"/>
        <v>82569.641348869845</v>
      </c>
      <c r="C64" s="2"/>
      <c r="D64" s="2">
        <f t="shared" si="50"/>
        <v>165800.67686426424</v>
      </c>
      <c r="E64" s="2">
        <f t="shared" si="51"/>
        <v>33071.427481290259</v>
      </c>
      <c r="F64" s="2"/>
      <c r="G64" s="2">
        <f t="shared" si="31"/>
        <v>24050.359755154812</v>
      </c>
      <c r="H64" s="2">
        <f t="shared" si="12"/>
        <v>46636.308931228356</v>
      </c>
      <c r="I64" s="2">
        <f t="shared" si="13"/>
        <v>352128.41438080749</v>
      </c>
      <c r="J64" s="2">
        <f t="shared" si="14"/>
        <v>44535.873464769742</v>
      </c>
      <c r="K64" s="6">
        <f t="shared" si="15"/>
        <v>0.14478853528807292</v>
      </c>
      <c r="L64" s="7">
        <f t="shared" si="16"/>
        <v>1.1447885352880729</v>
      </c>
      <c r="N64">
        <f t="shared" si="17"/>
        <v>2017</v>
      </c>
      <c r="O64" s="2">
        <f t="shared" si="18"/>
        <v>8807.0451416778324</v>
      </c>
      <c r="P64" s="2"/>
      <c r="Q64" s="2"/>
      <c r="R64">
        <f t="shared" si="19"/>
        <v>2017</v>
      </c>
      <c r="S64" s="2">
        <f t="shared" si="52"/>
        <v>80808.232320534284</v>
      </c>
      <c r="T64" s="2"/>
      <c r="U64" s="2">
        <f t="shared" si="53"/>
        <v>164039.26783592868</v>
      </c>
      <c r="V64" s="2">
        <f t="shared" si="53"/>
        <v>31310.018452954693</v>
      </c>
      <c r="W64" s="2"/>
      <c r="X64" s="2">
        <f t="shared" si="54"/>
        <v>22288.950726819246</v>
      </c>
      <c r="Y64" s="2">
        <f t="shared" si="54"/>
        <v>44874.899902892786</v>
      </c>
      <c r="Z64" s="2">
        <f t="shared" si="22"/>
        <v>343321.36923912965</v>
      </c>
      <c r="AA64" s="2">
        <f t="shared" si="57"/>
        <v>44388.656387671886</v>
      </c>
      <c r="AB64" s="6">
        <f t="shared" si="58"/>
        <v>0.14849046116183676</v>
      </c>
      <c r="AC64" s="7">
        <f t="shared" si="25"/>
        <v>1.1484904611618367</v>
      </c>
      <c r="AD64" s="2">
        <f t="shared" si="26"/>
        <v>0</v>
      </c>
      <c r="AF64">
        <f t="shared" si="7"/>
        <v>2017</v>
      </c>
      <c r="AG64" s="6">
        <f t="shared" si="56"/>
        <v>0.23537198543633286</v>
      </c>
      <c r="AH64" s="7"/>
      <c r="AI64" s="6">
        <f t="shared" si="55"/>
        <v>0.47780092512002165</v>
      </c>
      <c r="AJ64" s="6">
        <f t="shared" si="55"/>
        <v>9.1197406448494875E-2</v>
      </c>
      <c r="AK64" s="7"/>
      <c r="AL64" s="6">
        <f t="shared" si="45"/>
        <v>6.492153627435461E-2</v>
      </c>
      <c r="AM64" s="6">
        <f t="shared" si="8"/>
        <v>0.13070814672079614</v>
      </c>
      <c r="AN64" s="6">
        <f t="shared" si="27"/>
        <v>1</v>
      </c>
      <c r="AO64" s="7">
        <f t="shared" si="28"/>
        <v>0.86929185327920389</v>
      </c>
      <c r="AP64" s="7">
        <f t="shared" si="29"/>
        <v>0</v>
      </c>
    </row>
    <row r="65" spans="1:36" x14ac:dyDescent="0.25">
      <c r="A65" s="9" t="s">
        <v>79</v>
      </c>
      <c r="B65" s="10">
        <f>S64</f>
        <v>80808.232320534284</v>
      </c>
      <c r="C65" s="10"/>
      <c r="D65" s="10">
        <f>U64</f>
        <v>164039.26783592868</v>
      </c>
      <c r="E65" s="10">
        <f>V64</f>
        <v>31310.018452954693</v>
      </c>
      <c r="F65" s="10"/>
      <c r="G65" s="10">
        <f>X64</f>
        <v>22288.950726819246</v>
      </c>
      <c r="H65" s="10">
        <f>Y64</f>
        <v>44874.899902892786</v>
      </c>
      <c r="I65" s="10">
        <f>SUM(B65:H65)</f>
        <v>343321.36923912965</v>
      </c>
      <c r="J65" s="10"/>
      <c r="K65" s="10"/>
      <c r="N65" t="s">
        <v>40</v>
      </c>
      <c r="O65" s="2">
        <f>O64</f>
        <v>8807.0451416778324</v>
      </c>
      <c r="P65" s="2"/>
      <c r="R65" s="9" t="s">
        <v>79</v>
      </c>
      <c r="S65" s="10">
        <f>S64</f>
        <v>80808.232320534284</v>
      </c>
      <c r="T65" s="10"/>
      <c r="U65" s="10">
        <f>U64</f>
        <v>164039.26783592868</v>
      </c>
      <c r="V65" s="10">
        <f>V64</f>
        <v>31310.018452954693</v>
      </c>
      <c r="W65" s="10"/>
      <c r="X65" s="10">
        <f>X64</f>
        <v>22288.950726819246</v>
      </c>
      <c r="Y65" s="10">
        <f>Y64</f>
        <v>44874.899902892786</v>
      </c>
      <c r="Z65" s="10">
        <f>SUM(S65:Y65)</f>
        <v>343321.36923912965</v>
      </c>
      <c r="AA65" s="43"/>
      <c r="AB65" s="43"/>
      <c r="AC65" s="43"/>
      <c r="AD65" s="43"/>
      <c r="AJ65" s="7"/>
    </row>
    <row r="66" spans="1:36" x14ac:dyDescent="0.25">
      <c r="A66" s="11" t="s">
        <v>11</v>
      </c>
      <c r="I66" s="6">
        <f>(Z65-Z39)/Z39</f>
        <v>2.4332136923912966</v>
      </c>
      <c r="K66" s="6"/>
      <c r="N66" t="s">
        <v>71</v>
      </c>
      <c r="O66" s="2">
        <f>SUM(O40:O64)</f>
        <v>175900.24499739174</v>
      </c>
      <c r="P66" s="2"/>
      <c r="AH66" s="7"/>
      <c r="AJ66" s="7"/>
    </row>
    <row r="67" spans="1:36" x14ac:dyDescent="0.25">
      <c r="A67" s="1" t="s">
        <v>12</v>
      </c>
      <c r="I67" s="12">
        <f>STDEV(AC40:AC64)</f>
        <v>0.12954650425655209</v>
      </c>
      <c r="AI67" s="7"/>
    </row>
    <row r="68" spans="1:36" x14ac:dyDescent="0.25">
      <c r="A68" s="1" t="s">
        <v>13</v>
      </c>
      <c r="I68" s="13">
        <f>((1+I66)^(1/I75))-1</f>
        <v>5.0577350175569302E-2</v>
      </c>
    </row>
    <row r="69" spans="1:36" x14ac:dyDescent="0.25">
      <c r="A69" s="1" t="s">
        <v>83</v>
      </c>
      <c r="I69" s="31">
        <f>J60</f>
        <v>47067.465747579932</v>
      </c>
      <c r="O69" s="2"/>
      <c r="P69" s="2"/>
    </row>
    <row r="70" spans="1:36" x14ac:dyDescent="0.25">
      <c r="A70" s="1" t="s">
        <v>84</v>
      </c>
      <c r="I70" s="32">
        <f>K60</f>
        <v>0.20123708237733287</v>
      </c>
    </row>
    <row r="71" spans="1:36" x14ac:dyDescent="0.25">
      <c r="A71" s="1" t="s">
        <v>43</v>
      </c>
      <c r="I71" s="2">
        <f>O66</f>
        <v>175900.24499739174</v>
      </c>
    </row>
    <row r="72" spans="1:36" x14ac:dyDescent="0.25">
      <c r="A72" s="3" t="s">
        <v>85</v>
      </c>
      <c r="I72" s="33">
        <f>I65-Z64</f>
        <v>0</v>
      </c>
    </row>
    <row r="73" spans="1:36" x14ac:dyDescent="0.25">
      <c r="A73" s="3" t="s">
        <v>149</v>
      </c>
      <c r="I73" s="33">
        <f>((SUM(AA40:AA64)))-(I65-I39)</f>
        <v>0</v>
      </c>
    </row>
    <row r="74" spans="1:36" x14ac:dyDescent="0.25">
      <c r="A74" s="3" t="s">
        <v>148</v>
      </c>
      <c r="I74" s="33">
        <f>(SUM(O40:O64))-I71</f>
        <v>0</v>
      </c>
    </row>
    <row r="75" spans="1:36" x14ac:dyDescent="0.25">
      <c r="A75" s="3" t="s">
        <v>160</v>
      </c>
      <c r="I75" s="3">
        <f>COUNTA(I40:I64)</f>
        <v>25</v>
      </c>
    </row>
    <row r="76" spans="1:36" x14ac:dyDescent="0.25">
      <c r="A76" s="1" t="s">
        <v>106</v>
      </c>
      <c r="B76" s="63"/>
      <c r="C76" s="63"/>
      <c r="D76" s="63"/>
      <c r="E76" s="63"/>
      <c r="G76" s="63"/>
      <c r="H76" s="63"/>
      <c r="I76" s="86">
        <f>(SUM(B65:G65)/I65)</f>
        <v>0.86929185327920389</v>
      </c>
    </row>
    <row r="77" spans="1:36" x14ac:dyDescent="0.25">
      <c r="A77" s="1" t="s">
        <v>107</v>
      </c>
      <c r="B77" s="63"/>
      <c r="C77" s="63"/>
      <c r="D77" s="63"/>
      <c r="E77" s="63"/>
      <c r="G77" s="63"/>
      <c r="H77" s="63"/>
      <c r="I77" s="86">
        <f>(H65/I65)</f>
        <v>0.13070814672079614</v>
      </c>
    </row>
    <row r="78" spans="1:36" x14ac:dyDescent="0.25">
      <c r="A78" s="3" t="s">
        <v>108</v>
      </c>
      <c r="I78" s="3">
        <f>100%-(I76+I77)</f>
        <v>0</v>
      </c>
    </row>
    <row r="79" spans="1:36" x14ac:dyDescent="0.25">
      <c r="B79" s="2"/>
      <c r="D79" s="2"/>
      <c r="E79" s="2"/>
      <c r="G79" s="2"/>
      <c r="H79" s="2"/>
      <c r="I79"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3A68-D7F2-41AE-BC69-BAAB87677CEB}">
  <dimension ref="A1:BT78"/>
  <sheetViews>
    <sheetView topLeftCell="A23" zoomScale="110" zoomScaleNormal="110" workbookViewId="0">
      <pane xSplit="32835" topLeftCell="AV1"/>
      <selection activeCell="AR75" sqref="AR75"/>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1993</v>
      </c>
      <c r="B4" s="17">
        <f>'Non-Rebalanced Portfolio'!B4</f>
        <v>9.89</v>
      </c>
      <c r="C4" s="19">
        <f>'Non-Rebalanced Portfolio'!C4</f>
        <v>14.49</v>
      </c>
      <c r="D4" s="17"/>
      <c r="E4" s="17"/>
      <c r="F4" s="17">
        <f>'Non-Rebalanced Portfolio'!F4</f>
        <v>30.494</v>
      </c>
      <c r="G4" s="17"/>
      <c r="H4" s="17">
        <f>'Non-Rebalanced Portfolio'!H4</f>
        <v>9.68</v>
      </c>
      <c r="N4" s="49">
        <f>'4.5% Withdrawals-No Rebalancing'!N4</f>
        <v>1993</v>
      </c>
      <c r="O4" s="50">
        <f>'4.5% Withdrawals-No Rebalancing'!O4</f>
        <v>0.03</v>
      </c>
      <c r="P4" s="44"/>
    </row>
    <row r="5" spans="1:16" x14ac:dyDescent="0.25">
      <c r="A5" s="17">
        <f>'Non-Rebalanced Portfolio'!A5</f>
        <v>1994</v>
      </c>
      <c r="B5" s="17">
        <f>'Non-Rebalanced Portfolio'!B5</f>
        <v>1.18</v>
      </c>
      <c r="C5" s="19">
        <f>'Non-Rebalanced Portfolio'!C5</f>
        <v>-1.764</v>
      </c>
      <c r="D5" s="17"/>
      <c r="E5" s="17"/>
      <c r="F5" s="17">
        <f>'Non-Rebalanced Portfolio'!F5</f>
        <v>5.2549999999999999</v>
      </c>
      <c r="G5" s="17"/>
      <c r="H5" s="17">
        <f>'Non-Rebalanced Portfolio'!H5</f>
        <v>-2.66</v>
      </c>
      <c r="N5" s="49">
        <f>'4.5% Withdrawals-No Rebalancing'!N5</f>
        <v>1994</v>
      </c>
      <c r="O5" s="50">
        <f>'4.5% Withdrawals-No Rebalancing'!O5</f>
        <v>2.8000000000000001E-2</v>
      </c>
      <c r="P5" s="44"/>
    </row>
    <row r="6" spans="1:16" x14ac:dyDescent="0.25">
      <c r="A6" s="17">
        <f>'Non-Rebalanced Portfolio'!A6</f>
        <v>1995</v>
      </c>
      <c r="B6" s="17">
        <f>'Non-Rebalanced Portfolio'!B6</f>
        <v>37.450000000000003</v>
      </c>
      <c r="C6" s="19">
        <f>'Non-Rebalanced Portfolio'!C6</f>
        <v>33.796999999999997</v>
      </c>
      <c r="D6" s="17"/>
      <c r="E6" s="17"/>
      <c r="F6" s="17">
        <f>'Non-Rebalanced Portfolio'!F6</f>
        <v>9.6460000000000008</v>
      </c>
      <c r="G6" s="17"/>
      <c r="H6" s="17">
        <f>'Non-Rebalanced Portfolio'!H6</f>
        <v>18.18</v>
      </c>
      <c r="N6" s="49">
        <f>'4.5% Withdrawals-No Rebalancing'!N6</f>
        <v>1995</v>
      </c>
      <c r="O6" s="50">
        <f>'4.5% Withdrawals-No Rebalancing'!O6</f>
        <v>2.5999999999999999E-2</v>
      </c>
      <c r="P6" s="44"/>
    </row>
    <row r="7" spans="1:16" x14ac:dyDescent="0.25">
      <c r="A7" s="17">
        <f>'Non-Rebalanced Portfolio'!A7</f>
        <v>1996</v>
      </c>
      <c r="B7" s="17">
        <f>'Non-Rebalanced Portfolio'!B7</f>
        <v>22.88</v>
      </c>
      <c r="C7" s="19">
        <f>'Non-Rebalanced Portfolio'!C7</f>
        <v>17.646999999999998</v>
      </c>
      <c r="D7" s="17"/>
      <c r="E7" s="17"/>
      <c r="F7" s="17">
        <f>'Non-Rebalanced Portfolio'!F7</f>
        <v>10.218999999999999</v>
      </c>
      <c r="G7" s="17"/>
      <c r="H7" s="17">
        <f>'Non-Rebalanced Portfolio'!H7</f>
        <v>3.58</v>
      </c>
      <c r="N7" s="49">
        <f>'4.5% Withdrawals-No Rebalancing'!N7</f>
        <v>1996</v>
      </c>
      <c r="O7" s="50">
        <f>'4.5% Withdrawals-No Rebalancing'!O7</f>
        <v>2.5000000000000001E-2</v>
      </c>
      <c r="P7" s="44"/>
    </row>
    <row r="8" spans="1:16" x14ac:dyDescent="0.25">
      <c r="A8" s="17">
        <f>'Non-Rebalanced Portfolio'!A8</f>
        <v>1997</v>
      </c>
      <c r="B8" s="17">
        <f>'Non-Rebalanced Portfolio'!B8</f>
        <v>33.19</v>
      </c>
      <c r="C8" s="19">
        <f>'Non-Rebalanced Portfolio'!C8</f>
        <v>26.687000000000001</v>
      </c>
      <c r="D8" s="17"/>
      <c r="E8" s="17"/>
      <c r="F8" s="17">
        <f>'Non-Rebalanced Portfolio'!F8</f>
        <v>0</v>
      </c>
      <c r="G8" s="17"/>
      <c r="H8" s="17">
        <f>'Non-Rebalanced Portfolio'!H8</f>
        <v>9.44</v>
      </c>
      <c r="N8" s="49">
        <f>'4.5% Withdrawals-No Rebalancing'!N8</f>
        <v>1997</v>
      </c>
      <c r="O8" s="50">
        <f>'4.5% Withdrawals-No Rebalancing'!O8</f>
        <v>3.4000000000000002E-2</v>
      </c>
      <c r="P8" s="44"/>
    </row>
    <row r="9" spans="1:16" x14ac:dyDescent="0.25">
      <c r="A9" s="17">
        <f>'Non-Rebalanced Portfolio'!A9</f>
        <v>1998</v>
      </c>
      <c r="B9" s="17">
        <f>'Non-Rebalanced Portfolio'!B9</f>
        <v>28.66</v>
      </c>
      <c r="C9" s="19">
        <f>'Non-Rebalanced Portfolio'!C9</f>
        <v>8.3529999999999998</v>
      </c>
      <c r="D9" s="17"/>
      <c r="E9" s="17"/>
      <c r="F9" s="17">
        <f>'Non-Rebalanced Portfolio'!F9</f>
        <v>0</v>
      </c>
      <c r="G9" s="17"/>
      <c r="H9" s="17">
        <f>'Non-Rebalanced Portfolio'!H9</f>
        <v>8.58</v>
      </c>
      <c r="N9" s="49">
        <f>'4.5% Withdrawals-No Rebalancing'!N9</f>
        <v>1998</v>
      </c>
      <c r="O9" s="50">
        <f>'4.5% Withdrawals-No Rebalancing'!O9</f>
        <v>1.7000000000000001E-2</v>
      </c>
      <c r="P9" s="44"/>
    </row>
    <row r="10" spans="1:16" x14ac:dyDescent="0.25">
      <c r="A10" s="17">
        <f>'Non-Rebalanced Portfolio'!A10</f>
        <v>1999</v>
      </c>
      <c r="B10" s="17">
        <f>'Non-Rebalanced Portfolio'!B10</f>
        <v>21.07</v>
      </c>
      <c r="C10" s="19">
        <f>'Non-Rebalanced Portfolio'!C10</f>
        <v>0</v>
      </c>
      <c r="D10" s="17"/>
      <c r="E10" s="17"/>
      <c r="F10" s="17">
        <f>'Non-Rebalanced Portfolio'!F10</f>
        <v>0</v>
      </c>
      <c r="G10" s="17"/>
      <c r="H10" s="17">
        <f>'Non-Rebalanced Portfolio'!H10</f>
        <v>-0.76</v>
      </c>
      <c r="N10" s="49">
        <f>'4.5% Withdrawals-No Rebalancing'!N10</f>
        <v>1999</v>
      </c>
      <c r="O10" s="50">
        <f>'4.5% Withdrawals-No Rebalancing'!O10</f>
        <v>1.6E-2</v>
      </c>
      <c r="P10" s="44"/>
    </row>
    <row r="11" spans="1:16" x14ac:dyDescent="0.25">
      <c r="A11" s="17">
        <f>'Non-Rebalanced Portfolio'!A11</f>
        <v>2000</v>
      </c>
      <c r="B11" s="17">
        <f>'Non-Rebalanced Portfolio'!B11</f>
        <v>-9.06</v>
      </c>
      <c r="C11" s="19">
        <f>'Non-Rebalanced Portfolio'!C11</f>
        <v>0</v>
      </c>
      <c r="D11" s="17"/>
      <c r="E11" s="17"/>
      <c r="F11" s="17">
        <f>'Non-Rebalanced Portfolio'!F11</f>
        <v>0</v>
      </c>
      <c r="G11" s="17">
        <f>'Non-Rebalanced Portfolio'!G11</f>
        <v>-15.614000000000001</v>
      </c>
      <c r="H11" s="17">
        <f>'Non-Rebalanced Portfolio'!H11</f>
        <v>11.39</v>
      </c>
      <c r="N11" s="49">
        <f>'4.5% Withdrawals-No Rebalancing'!N11</f>
        <v>2000</v>
      </c>
      <c r="O11" s="50">
        <f>'4.5% Withdrawals-No Rebalancing'!O11</f>
        <v>2.7E-2</v>
      </c>
      <c r="P11" s="44"/>
    </row>
    <row r="12" spans="1:16" x14ac:dyDescent="0.25">
      <c r="A12" s="17">
        <f>'Non-Rebalanced Portfolio'!A12</f>
        <v>2001</v>
      </c>
      <c r="B12" s="17">
        <f>'Non-Rebalanced Portfolio'!B12</f>
        <v>-12.02</v>
      </c>
      <c r="C12" s="19">
        <f>'Non-Rebalanced Portfolio'!C12</f>
        <v>0</v>
      </c>
      <c r="D12" s="17"/>
      <c r="E12" s="17"/>
      <c r="F12" s="17">
        <f>'Non-Rebalanced Portfolio'!F12</f>
        <v>0</v>
      </c>
      <c r="G12" s="17">
        <f>'Non-Rebalanced Portfolio'!G12</f>
        <v>-20.152999999999999</v>
      </c>
      <c r="H12" s="17">
        <f>'Non-Rebalanced Portfolio'!H12</f>
        <v>8.43</v>
      </c>
      <c r="N12" s="49">
        <f>'4.5% Withdrawals-No Rebalancing'!N12</f>
        <v>2001</v>
      </c>
      <c r="O12" s="50">
        <f>'4.5% Withdrawals-No Rebalancing'!O12</f>
        <v>3.4000000000000002E-2</v>
      </c>
      <c r="P12" s="44"/>
    </row>
    <row r="13" spans="1:16" x14ac:dyDescent="0.25">
      <c r="A13" s="17">
        <f>'Non-Rebalanced Portfolio'!A13</f>
        <v>2002</v>
      </c>
      <c r="B13" s="17">
        <f>'Non-Rebalanced Portfolio'!B13</f>
        <v>-22.15</v>
      </c>
      <c r="C13" s="19"/>
      <c r="D13" s="17">
        <f>'Non-Rebalanced Portfolio'!D13</f>
        <v>-14.608000000000001</v>
      </c>
      <c r="E13" s="17">
        <f>'Non-Rebalanced Portfolio'!E13</f>
        <v>-20.021999999999998</v>
      </c>
      <c r="F13" s="17"/>
      <c r="G13" s="17">
        <f>'Non-Rebalanced Portfolio'!G13</f>
        <v>-15.083</v>
      </c>
      <c r="H13" s="17">
        <f>'Non-Rebalanced Portfolio'!H13</f>
        <v>8.26</v>
      </c>
      <c r="N13" s="49">
        <f>'4.5% Withdrawals-No Rebalancing'!N13</f>
        <v>2002</v>
      </c>
      <c r="O13" s="50">
        <f>'4.5% Withdrawals-No Rebalancing'!O13</f>
        <v>1.6E-2</v>
      </c>
      <c r="P13" s="44"/>
    </row>
    <row r="14" spans="1:16" x14ac:dyDescent="0.25">
      <c r="A14" s="17">
        <f>'Non-Rebalanced Portfolio'!A14</f>
        <v>2003</v>
      </c>
      <c r="B14" s="17">
        <f>'Non-Rebalanced Portfolio'!B14</f>
        <v>28.5</v>
      </c>
      <c r="C14" s="19"/>
      <c r="D14" s="17">
        <f>'Non-Rebalanced Portfolio'!D14</f>
        <v>34.142000000000003</v>
      </c>
      <c r="E14" s="17">
        <f>'Non-Rebalanced Portfolio'!E14</f>
        <v>45.628</v>
      </c>
      <c r="F14" s="17"/>
      <c r="G14" s="17">
        <f>'Non-Rebalanced Portfolio'!G14</f>
        <v>40.340000000000003</v>
      </c>
      <c r="H14" s="17">
        <f>'Non-Rebalanced Portfolio'!H14</f>
        <v>3.97</v>
      </c>
      <c r="N14" s="49">
        <f>'4.5% Withdrawals-No Rebalancing'!N14</f>
        <v>2003</v>
      </c>
      <c r="O14" s="50">
        <f>'4.5% Withdrawals-No Rebalancing'!O14</f>
        <v>2.5000000000000001E-2</v>
      </c>
      <c r="P14" s="44"/>
    </row>
    <row r="15" spans="1:16"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c r="N15" s="49">
        <f>'4.5% Withdrawals-No Rebalancing'!N15</f>
        <v>2004</v>
      </c>
      <c r="O15" s="50">
        <f>'4.5% Withdrawals-No Rebalancing'!O15</f>
        <v>0.02</v>
      </c>
      <c r="P15" s="44"/>
    </row>
    <row r="16" spans="1:16"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c r="N16" s="49">
        <f>'4.5% Withdrawals-No Rebalancing'!N16</f>
        <v>2005</v>
      </c>
      <c r="O16" s="50">
        <f>'4.5% Withdrawals-No Rebalancing'!O16</f>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9">
        <f>'4.5% Withdrawals-No Rebalancing'!N17</f>
        <v>2006</v>
      </c>
      <c r="O17" s="50">
        <f>'4.5% Withdrawals-No Rebalancing'!O17</f>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9">
        <f>'4.5% Withdrawals-No Rebalancing'!N18</f>
        <v>2007</v>
      </c>
      <c r="O18" s="50">
        <f>'4.5% Withdrawals-No Rebalancing'!O18</f>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9">
        <f>'4.5% Withdrawals-No Rebalancing'!N19</f>
        <v>2008</v>
      </c>
      <c r="O19" s="50">
        <f>'4.5% Withdrawals-No Rebalancing'!O19</f>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9">
        <f>'4.5% Withdrawals-No Rebalancing'!N20</f>
        <v>2009</v>
      </c>
      <c r="O20" s="50">
        <f>'4.5% Withdrawals-No Rebalancing'!O20</f>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9">
        <f>'4.5% Withdrawals-No Rebalancing'!N21</f>
        <v>2010</v>
      </c>
      <c r="O21" s="50">
        <f>'4.5% Withdrawals-No Rebalancing'!O21</f>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9">
        <f>'4.5% Withdrawals-No Rebalancing'!N22</f>
        <v>2011</v>
      </c>
      <c r="O22" s="50">
        <f>'4.5% Withdrawals-No Rebalancing'!O22</f>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9">
        <f>'4.5% Withdrawals-No Rebalancing'!N23</f>
        <v>2012</v>
      </c>
      <c r="O23" s="50">
        <f>'4.5% Withdrawals-No Rebalancing'!O23</f>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9">
        <f>'4.5% Withdrawals-No Rebalancing'!N24</f>
        <v>2013</v>
      </c>
      <c r="O24" s="50">
        <f>'4.5% Withdrawals-No Rebalancing'!O24</f>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9">
        <f>'4.5% Withdrawals-No Rebalancing'!N25</f>
        <v>2014</v>
      </c>
      <c r="O25" s="50">
        <f>'4.5% Withdrawals-No Rebalancing'!O25</f>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9">
        <f>'4.5% Withdrawals-No Rebalancing'!N26</f>
        <v>2015</v>
      </c>
      <c r="O26" s="50">
        <f>'4.5% Withdrawals-No Rebalancing'!O26</f>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9">
        <f>'4.5% Withdrawals-No Rebalancing'!N27</f>
        <v>2016</v>
      </c>
      <c r="O27" s="50">
        <f>'4.5% Withdrawals-No Rebalancing'!O27</f>
        <v>4.4000000000000003E-3</v>
      </c>
    </row>
    <row r="28" spans="1:16" x14ac:dyDescent="0.25">
      <c r="A28" s="17">
        <f>'Non-Rebalanced Portfolio'!A28</f>
        <v>2017</v>
      </c>
      <c r="B28" s="17">
        <f>'Non-Rebalanced Portfolio'!B28</f>
        <v>21.67</v>
      </c>
      <c r="C28" s="17"/>
      <c r="D28" s="17">
        <f>'Non-Rebalanced Portfolio'!D28</f>
        <v>19.600000000000001</v>
      </c>
      <c r="E28" s="17">
        <f>'Non-Rebalanced Portfolio'!E28</f>
        <v>16.100000000000001</v>
      </c>
      <c r="F28" s="17"/>
      <c r="G28" s="17">
        <f>'Non-Rebalanced Portfolio'!G28</f>
        <v>27.4</v>
      </c>
      <c r="H28" s="17">
        <f>'Non-Rebalanced Portfolio'!H28</f>
        <v>3.46</v>
      </c>
      <c r="N28" s="49">
        <f>'4.5% Withdrawals-No Rebalancing'!N28</f>
        <v>2017</v>
      </c>
      <c r="O28" s="50">
        <f>'4.5% Withdrawals-No Rebalancing'!O28</f>
        <v>1.7000000000000001E-2</v>
      </c>
    </row>
    <row r="29" spans="1:16" x14ac:dyDescent="0.25">
      <c r="A29" s="17">
        <f>'Non-Rebalanced Portfolio'!A29</f>
        <v>2017</v>
      </c>
      <c r="B29" s="17">
        <f>'Non-Rebalanced Portfolio'!B29</f>
        <v>21.67</v>
      </c>
      <c r="C29" s="17"/>
      <c r="D29" s="17">
        <f>'Non-Rebalanced Portfolio'!D29</f>
        <v>19.600000000000001</v>
      </c>
      <c r="E29" s="17">
        <f>'Non-Rebalanced Portfolio'!E29</f>
        <v>16.100000000000001</v>
      </c>
      <c r="F29" s="17"/>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7"/>
      <c r="D30" s="17">
        <f>'Non-Rebalanced Portfolio'!D30</f>
        <v>19.600000000000001</v>
      </c>
      <c r="E30" s="17">
        <f>'Non-Rebalanced Portfolio'!E30</f>
        <v>16.100000000000001</v>
      </c>
      <c r="F30" s="17"/>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'4.5% Withdrawals-No Rebalancing'!N32</f>
        <v>2017</v>
      </c>
      <c r="O32" s="50">
        <f>'4.5% Withdrawals-No Rebalancing'!O32</f>
        <v>2.23E-2</v>
      </c>
    </row>
    <row r="33" spans="1:72"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72" x14ac:dyDescent="0.25">
      <c r="A36" s="20" t="s">
        <v>117</v>
      </c>
      <c r="N36" s="20" t="s">
        <v>25</v>
      </c>
      <c r="R36" s="20" t="s">
        <v>118</v>
      </c>
      <c r="AG36" s="20" t="s">
        <v>119</v>
      </c>
      <c r="AS36" s="20" t="s">
        <v>7</v>
      </c>
      <c r="BC36" s="20" t="s">
        <v>120</v>
      </c>
    </row>
    <row r="37" spans="1:7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7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72"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72" x14ac:dyDescent="0.25">
      <c r="A40">
        <f t="shared" ref="A40:A64" si="6">A4</f>
        <v>1993</v>
      </c>
      <c r="B40" s="2">
        <f>B39*(1+(B4/100))</f>
        <v>21978</v>
      </c>
      <c r="C40" s="2">
        <f>C39*(1+(C4/100))</f>
        <v>34347</v>
      </c>
      <c r="D40" s="2"/>
      <c r="E40" s="2"/>
      <c r="F40" s="2">
        <f>F39*(1+(F4/100))</f>
        <v>26098.799999999999</v>
      </c>
      <c r="G40" s="2"/>
      <c r="H40" s="2">
        <f>H39*(1+(H4/100))</f>
        <v>32904</v>
      </c>
      <c r="I40" s="2">
        <f>SUM(B40:H40)</f>
        <v>115327.8</v>
      </c>
      <c r="J40" s="2">
        <f>I40-I39</f>
        <v>15327.800000000003</v>
      </c>
      <c r="K40" s="6">
        <f>(J40/I39)</f>
        <v>0.15327800000000003</v>
      </c>
      <c r="L40" s="7">
        <f>K40+1</f>
        <v>1.153278</v>
      </c>
      <c r="N40">
        <f>A40</f>
        <v>1993</v>
      </c>
      <c r="O40" s="2">
        <f>I40*0.045</f>
        <v>5189.7510000000002</v>
      </c>
      <c r="P40" s="2"/>
      <c r="Q40" s="2"/>
      <c r="R40">
        <f>A40</f>
        <v>1993</v>
      </c>
      <c r="S40" s="2">
        <f>B40-($O40/4)</f>
        <v>20680.562249999999</v>
      </c>
      <c r="T40" s="2">
        <f>C40-($O40/4)</f>
        <v>33049.562250000003</v>
      </c>
      <c r="U40" s="2"/>
      <c r="V40" s="2"/>
      <c r="W40" s="2">
        <f t="shared" ref="W40:W43" si="7">F40-($O40/4)</f>
        <v>24801.362249999998</v>
      </c>
      <c r="X40" s="2"/>
      <c r="Y40" s="2">
        <f>H40-($O40/4)</f>
        <v>31606.562249999999</v>
      </c>
      <c r="Z40" s="2">
        <f>SUM(S40:Y40)</f>
        <v>110138.04900000001</v>
      </c>
      <c r="AA40" s="2">
        <f>Z40-Z39</f>
        <v>10138.049000000014</v>
      </c>
      <c r="AB40" s="6">
        <f>(AA40/Z39)</f>
        <v>0.10138049000000014</v>
      </c>
      <c r="AC40" s="7">
        <f>AB40+1</f>
        <v>1.1013804900000002</v>
      </c>
      <c r="AD40" s="2">
        <f>Z40-(I40-O40)</f>
        <v>0</v>
      </c>
      <c r="AE40" s="2"/>
      <c r="AG40">
        <f>A40</f>
        <v>1993</v>
      </c>
      <c r="AH40" s="6">
        <f t="shared" si="5"/>
        <v>0.1877694623953253</v>
      </c>
      <c r="AI40" s="6">
        <f t="shared" si="5"/>
        <v>0.30007397579741041</v>
      </c>
      <c r="AJ40" s="7"/>
      <c r="AK40" s="7"/>
      <c r="AL40" s="6">
        <f>W40/$Z40</f>
        <v>0.22518432526437793</v>
      </c>
      <c r="AM40" s="7"/>
      <c r="AN40" s="6">
        <f>Y40/$Z40</f>
        <v>0.28697223654288623</v>
      </c>
      <c r="AO40" s="6">
        <f>SUM(AH40:AN40)</f>
        <v>0.99999999999999978</v>
      </c>
      <c r="AP40" s="7">
        <f>SUM(AH40:AM40)</f>
        <v>0.71302776345711361</v>
      </c>
      <c r="AQ40" s="7">
        <f>AO40-(AP40+AN40)</f>
        <v>0</v>
      </c>
      <c r="AR40" s="24"/>
      <c r="AS40">
        <f>AG40</f>
        <v>1993</v>
      </c>
      <c r="AT40" s="1" t="b">
        <f>AND((S40/$Z40)&gt;0.15,(S40/$Z40)&lt;0.25)</f>
        <v>1</v>
      </c>
      <c r="AU40" s="1" t="b">
        <f>AND((T40/$Z40)&gt;0.25,(T40/$Z40)&lt;0.35)</f>
        <v>1</v>
      </c>
      <c r="AX40" s="1" t="b">
        <f t="shared" ref="AX40:AX43" si="8">AND((W40/$Z40)&gt;0.15,(W40/$Z40)&lt;0.25)</f>
        <v>1</v>
      </c>
      <c r="AZ40" s="1" t="b">
        <f>AND((Y40/$Z40)&gt;0.25,(Y40/$Z40)&lt;0.35)</f>
        <v>1</v>
      </c>
      <c r="BA40" s="1" t="b">
        <f>AND((Z40/$Z40)&gt;0.999,(Z40/$Z40)&lt;1.01)</f>
        <v>1</v>
      </c>
      <c r="BC40">
        <f>AS40</f>
        <v>1993</v>
      </c>
      <c r="BD40" s="2">
        <f t="shared" ref="BD40:BE42" si="9">S40</f>
        <v>20680.562249999999</v>
      </c>
      <c r="BE40" s="2">
        <f t="shared" si="9"/>
        <v>33049.562250000003</v>
      </c>
      <c r="BF40" s="2"/>
      <c r="BG40" s="2"/>
      <c r="BH40" s="2">
        <f t="shared" ref="BH40" si="10">W40</f>
        <v>24801.362249999998</v>
      </c>
      <c r="BI40" s="2"/>
      <c r="BJ40" s="2">
        <f>Y40</f>
        <v>31606.562249999999</v>
      </c>
      <c r="BK40" s="2">
        <f>Z40</f>
        <v>110138.04900000001</v>
      </c>
      <c r="BL40" s="2">
        <f>SUM(BD40:BJ40)-Z40</f>
        <v>0</v>
      </c>
      <c r="BM40" s="2"/>
    </row>
    <row r="41" spans="1:72" x14ac:dyDescent="0.25">
      <c r="A41">
        <f t="shared" si="6"/>
        <v>1994</v>
      </c>
      <c r="B41" s="2">
        <f t="shared" ref="B41:B50" si="11">BD40*(1+(B5/100))</f>
        <v>20924.592884549998</v>
      </c>
      <c r="C41" s="2">
        <f t="shared" ref="C41:C45" si="12">BE40*(1+(C5/100))</f>
        <v>32466.567971910004</v>
      </c>
      <c r="D41" s="2"/>
      <c r="E41" s="2"/>
      <c r="F41" s="2">
        <f t="shared" ref="F41:F43" si="13">BH40*(1+(F5/100))</f>
        <v>26104.6738362375</v>
      </c>
      <c r="G41" s="2"/>
      <c r="H41" s="2">
        <f t="shared" ref="H41:H64" si="14">BJ40*(1+(H5/100))</f>
        <v>30765.827694150001</v>
      </c>
      <c r="I41" s="2">
        <f>SUM(B41:H41)</f>
        <v>110261.66238684751</v>
      </c>
      <c r="J41" s="2">
        <f t="shared" ref="J41:J64" si="15">I41-I40</f>
        <v>-5066.1376131524885</v>
      </c>
      <c r="K41" s="6">
        <f t="shared" ref="K41:K64" si="16">(J41/I40)</f>
        <v>-4.3928156204770127E-2</v>
      </c>
      <c r="L41" s="7">
        <f t="shared" ref="L41:L64" si="17">K41+1</f>
        <v>0.95607184379522991</v>
      </c>
      <c r="N41">
        <f t="shared" ref="N41:N64" si="18">A41</f>
        <v>1994</v>
      </c>
      <c r="O41" s="2">
        <f t="shared" ref="O41:O64" si="19">O40*(1+O5)</f>
        <v>5335.0640280000007</v>
      </c>
      <c r="P41" s="2"/>
      <c r="Q41" s="2"/>
      <c r="R41">
        <f t="shared" ref="R41:R64" si="20">A41</f>
        <v>1994</v>
      </c>
      <c r="S41" s="2">
        <f t="shared" ref="S41:T45" si="21">B41-($O41/4)</f>
        <v>19590.826877549996</v>
      </c>
      <c r="T41" s="2">
        <f t="shared" si="21"/>
        <v>31132.801964910002</v>
      </c>
      <c r="U41" s="2"/>
      <c r="V41" s="2"/>
      <c r="W41" s="2">
        <f t="shared" si="7"/>
        <v>24770.907829237498</v>
      </c>
      <c r="X41" s="2"/>
      <c r="Y41" s="2">
        <f t="shared" ref="Y41:Y45" si="22">H41-($O41/4)</f>
        <v>29432.061687150002</v>
      </c>
      <c r="Z41" s="2">
        <f t="shared" ref="Z41:Z64" si="23">SUM(S41:Y41)</f>
        <v>104926.59835884749</v>
      </c>
      <c r="AA41" s="2">
        <f t="shared" ref="AA41:AA55" si="24">Z41-Z40</f>
        <v>-5211.4506411525217</v>
      </c>
      <c r="AB41" s="6">
        <f t="shared" ref="AB41:AB55" si="25">(AA41/Z40)</f>
        <v>-4.7317441052115612E-2</v>
      </c>
      <c r="AC41" s="7">
        <f t="shared" ref="AC41:AC64" si="26">AB41+1</f>
        <v>0.95268255894788434</v>
      </c>
      <c r="AD41" s="2">
        <f t="shared" ref="AD41:AD64" si="27">Z41-(I41-O41)</f>
        <v>0</v>
      </c>
      <c r="AE41" s="2"/>
      <c r="AG41">
        <f t="shared" ref="AG41:AG64" si="28">A41</f>
        <v>1994</v>
      </c>
      <c r="AH41" s="6">
        <f t="shared" si="5"/>
        <v>0.18670982557301288</v>
      </c>
      <c r="AI41" s="6">
        <f t="shared" si="5"/>
        <v>0.29671029511922475</v>
      </c>
      <c r="AJ41" s="7"/>
      <c r="AK41" s="7"/>
      <c r="AL41" s="6">
        <f t="shared" ref="AL41:AM56" si="29">W41/$Z41</f>
        <v>0.23607844165996253</v>
      </c>
      <c r="AM41" s="7"/>
      <c r="AN41" s="6">
        <f t="shared" ref="AN41:AN64" si="30">Y41/$Z41</f>
        <v>0.28050143764779989</v>
      </c>
      <c r="AO41" s="6">
        <f t="shared" ref="AO41:AO64" si="31">SUM(AH41:AN41)</f>
        <v>1</v>
      </c>
      <c r="AP41" s="7">
        <f t="shared" ref="AP41:AP64" si="32">SUM(AH41:AM41)</f>
        <v>0.71949856235220011</v>
      </c>
      <c r="AQ41" s="7">
        <f t="shared" ref="AQ41:AQ64" si="33">AO41-(AP41+AN41)</f>
        <v>0</v>
      </c>
      <c r="AR41" s="24"/>
      <c r="AS41">
        <f t="shared" ref="AS41:AS64" si="34">AG41</f>
        <v>1994</v>
      </c>
      <c r="AT41" s="1" t="b">
        <f t="shared" ref="AT41:AT64" si="35">AND((S41/$Z41)&gt;0.15,(S41/$Z41)&lt;0.25)</f>
        <v>1</v>
      </c>
      <c r="AU41" s="1" t="b">
        <f t="shared" ref="AU41:AU45" si="36">AND((T41/$Z41)&gt;0.25,(T41/$Z41)&lt;0.35)</f>
        <v>1</v>
      </c>
      <c r="AX41" s="35" t="b">
        <f t="shared" si="8"/>
        <v>1</v>
      </c>
      <c r="AZ41" s="1" t="b">
        <f t="shared" ref="AZ41:AZ64" si="37">AND((Y41/$Z41)&gt;0.25,(Y41/$Z41)&lt;0.35)</f>
        <v>1</v>
      </c>
      <c r="BA41" s="1" t="b">
        <f t="shared" ref="BA41:BA64" si="38">AND((Z41/$Z41)&gt;0.999,(Z41/$Z41)&lt;1.01)</f>
        <v>1</v>
      </c>
      <c r="BC41">
        <f t="shared" ref="BC41:BC64" si="39">AS41</f>
        <v>1994</v>
      </c>
      <c r="BD41" s="2">
        <f t="shared" si="9"/>
        <v>19590.826877549996</v>
      </c>
      <c r="BE41" s="2">
        <f t="shared" si="9"/>
        <v>31132.801964910002</v>
      </c>
      <c r="BF41" s="2"/>
      <c r="BG41" s="2"/>
      <c r="BH41" s="2">
        <f t="shared" ref="BH41:BH42" si="40">W41</f>
        <v>24770.907829237498</v>
      </c>
      <c r="BI41" s="2"/>
      <c r="BJ41" s="2">
        <f>Y41</f>
        <v>29432.061687150002</v>
      </c>
      <c r="BK41" s="2">
        <f t="shared" ref="BK41:BK64" si="41">Z41</f>
        <v>104926.59835884749</v>
      </c>
      <c r="BL41" s="2">
        <f t="shared" ref="BL41:BL64" si="42">SUM(BD41:BJ41)-Z41</f>
        <v>0</v>
      </c>
      <c r="BM41" s="2"/>
    </row>
    <row r="42" spans="1:72" x14ac:dyDescent="0.25">
      <c r="A42">
        <f t="shared" si="6"/>
        <v>1995</v>
      </c>
      <c r="B42" s="2">
        <f t="shared" si="11"/>
        <v>26927.59154319247</v>
      </c>
      <c r="C42" s="2">
        <f t="shared" si="12"/>
        <v>41654.755044990634</v>
      </c>
      <c r="D42" s="2"/>
      <c r="E42" s="2"/>
      <c r="F42" s="2">
        <f t="shared" si="13"/>
        <v>27160.309598445747</v>
      </c>
      <c r="G42" s="2"/>
      <c r="H42" s="2">
        <f t="shared" si="14"/>
        <v>34782.810501873872</v>
      </c>
      <c r="I42" s="2">
        <f t="shared" ref="I42:I64" si="43">SUM(B42:H42)</f>
        <v>130525.46668850273</v>
      </c>
      <c r="J42" s="2">
        <f t="shared" si="15"/>
        <v>20263.804301655211</v>
      </c>
      <c r="K42" s="6">
        <f t="shared" si="16"/>
        <v>0.18377923806881008</v>
      </c>
      <c r="L42" s="7">
        <f t="shared" si="17"/>
        <v>1.1837792380688101</v>
      </c>
      <c r="N42">
        <f t="shared" si="18"/>
        <v>1995</v>
      </c>
      <c r="O42" s="2">
        <f t="shared" si="19"/>
        <v>5473.7756927280006</v>
      </c>
      <c r="P42" s="2"/>
      <c r="Q42" s="2"/>
      <c r="R42">
        <f t="shared" si="20"/>
        <v>1995</v>
      </c>
      <c r="S42" s="2">
        <f t="shared" si="21"/>
        <v>25559.14762001047</v>
      </c>
      <c r="T42" s="2">
        <f t="shared" si="21"/>
        <v>40286.311121808634</v>
      </c>
      <c r="U42" s="2"/>
      <c r="V42" s="2"/>
      <c r="W42" s="2">
        <f t="shared" si="7"/>
        <v>25791.865675263747</v>
      </c>
      <c r="X42" s="2"/>
      <c r="Y42" s="2">
        <f t="shared" si="22"/>
        <v>33414.366578691872</v>
      </c>
      <c r="Z42" s="2">
        <f t="shared" si="23"/>
        <v>125051.69099577473</v>
      </c>
      <c r="AA42" s="2">
        <f t="shared" si="24"/>
        <v>20125.092636927235</v>
      </c>
      <c r="AB42" s="6">
        <f t="shared" si="25"/>
        <v>0.191801630394037</v>
      </c>
      <c r="AC42" s="7">
        <f t="shared" si="26"/>
        <v>1.1918016303940371</v>
      </c>
      <c r="AD42" s="2">
        <f t="shared" si="27"/>
        <v>0</v>
      </c>
      <c r="AE42" s="2"/>
      <c r="AG42">
        <f t="shared" si="28"/>
        <v>1995</v>
      </c>
      <c r="AH42" s="6">
        <f t="shared" si="5"/>
        <v>0.20438866053297966</v>
      </c>
      <c r="AI42" s="6">
        <f t="shared" si="5"/>
        <v>0.3221572679346642</v>
      </c>
      <c r="AJ42" s="7"/>
      <c r="AK42" s="7"/>
      <c r="AL42" s="6">
        <f t="shared" si="29"/>
        <v>0.20624963540984989</v>
      </c>
      <c r="AM42" s="7"/>
      <c r="AN42" s="6">
        <f t="shared" si="30"/>
        <v>0.26720443612250622</v>
      </c>
      <c r="AO42" s="6">
        <f t="shared" si="31"/>
        <v>1</v>
      </c>
      <c r="AP42" s="7">
        <f t="shared" si="32"/>
        <v>0.73279556387749378</v>
      </c>
      <c r="AQ42" s="7">
        <f t="shared" si="33"/>
        <v>0</v>
      </c>
      <c r="AR42" s="24"/>
      <c r="AS42">
        <f t="shared" si="34"/>
        <v>1995</v>
      </c>
      <c r="AT42" s="1" t="b">
        <f t="shared" si="35"/>
        <v>1</v>
      </c>
      <c r="AU42" s="1" t="b">
        <f t="shared" si="36"/>
        <v>1</v>
      </c>
      <c r="AX42" s="35" t="b">
        <f t="shared" si="8"/>
        <v>1</v>
      </c>
      <c r="AZ42" s="1" t="b">
        <f t="shared" si="37"/>
        <v>1</v>
      </c>
      <c r="BA42" s="1" t="b">
        <f t="shared" si="38"/>
        <v>1</v>
      </c>
      <c r="BC42">
        <f t="shared" si="39"/>
        <v>1995</v>
      </c>
      <c r="BD42" s="2">
        <f t="shared" si="9"/>
        <v>25559.14762001047</v>
      </c>
      <c r="BE42" s="2">
        <f t="shared" si="9"/>
        <v>40286.311121808634</v>
      </c>
      <c r="BF42" s="2"/>
      <c r="BG42" s="2"/>
      <c r="BH42" s="2">
        <f t="shared" si="40"/>
        <v>25791.865675263747</v>
      </c>
      <c r="BI42" s="2"/>
      <c r="BJ42" s="2">
        <f>Y42</f>
        <v>33414.366578691872</v>
      </c>
      <c r="BK42" s="2">
        <f t="shared" si="41"/>
        <v>125051.69099577473</v>
      </c>
      <c r="BL42" s="2">
        <f t="shared" si="42"/>
        <v>0</v>
      </c>
      <c r="BM42" s="2"/>
    </row>
    <row r="43" spans="1:72" x14ac:dyDescent="0.25">
      <c r="A43">
        <f t="shared" si="6"/>
        <v>1996</v>
      </c>
      <c r="B43" s="2">
        <f t="shared" si="11"/>
        <v>31407.080595468869</v>
      </c>
      <c r="C43" s="2">
        <f t="shared" si="12"/>
        <v>47395.6364454742</v>
      </c>
      <c r="D43" s="2"/>
      <c r="E43" s="2"/>
      <c r="F43" s="2">
        <f t="shared" si="13"/>
        <v>28427.536428618951</v>
      </c>
      <c r="G43" s="2"/>
      <c r="H43" s="2">
        <f t="shared" si="14"/>
        <v>34610.600902209044</v>
      </c>
      <c r="I43" s="2">
        <f t="shared" si="43"/>
        <v>141840.85437177104</v>
      </c>
      <c r="J43" s="2">
        <f t="shared" si="15"/>
        <v>11315.387683268316</v>
      </c>
      <c r="K43" s="6">
        <f t="shared" si="16"/>
        <v>8.6691034097371486E-2</v>
      </c>
      <c r="L43" s="7">
        <f t="shared" si="17"/>
        <v>1.0866910340973714</v>
      </c>
      <c r="N43">
        <f t="shared" si="18"/>
        <v>1996</v>
      </c>
      <c r="O43" s="2">
        <f t="shared" si="19"/>
        <v>5610.6200850462001</v>
      </c>
      <c r="P43" s="2"/>
      <c r="Q43" s="2"/>
      <c r="R43">
        <f t="shared" si="20"/>
        <v>1996</v>
      </c>
      <c r="S43" s="2">
        <f t="shared" si="21"/>
        <v>30004.425574207318</v>
      </c>
      <c r="T43" s="2">
        <f t="shared" si="21"/>
        <v>45992.981424212652</v>
      </c>
      <c r="U43" s="2"/>
      <c r="V43" s="2"/>
      <c r="W43" s="2">
        <f t="shared" si="7"/>
        <v>27024.881407357399</v>
      </c>
      <c r="X43" s="2"/>
      <c r="Y43" s="2">
        <f t="shared" si="22"/>
        <v>33207.945880947496</v>
      </c>
      <c r="Z43" s="2">
        <f t="shared" si="23"/>
        <v>136230.23428672488</v>
      </c>
      <c r="AA43" s="2">
        <f t="shared" si="24"/>
        <v>11178.543290950154</v>
      </c>
      <c r="AB43" s="6">
        <f t="shared" si="25"/>
        <v>8.9391380491830832E-2</v>
      </c>
      <c r="AC43" s="7">
        <f t="shared" si="26"/>
        <v>1.0893913804918309</v>
      </c>
      <c r="AD43" s="2">
        <f t="shared" si="27"/>
        <v>0</v>
      </c>
      <c r="AE43" s="2"/>
      <c r="AG43">
        <f t="shared" si="28"/>
        <v>1996</v>
      </c>
      <c r="AH43" s="6">
        <f t="shared" si="5"/>
        <v>0.22024791876270844</v>
      </c>
      <c r="AI43" s="6">
        <f t="shared" si="5"/>
        <v>0.33761214362599457</v>
      </c>
      <c r="AJ43" s="7"/>
      <c r="AK43" s="7"/>
      <c r="AL43" s="6">
        <f t="shared" si="29"/>
        <v>0.19837653182389683</v>
      </c>
      <c r="AM43" s="7"/>
      <c r="AN43" s="6">
        <f t="shared" si="30"/>
        <v>0.24376340578740005</v>
      </c>
      <c r="AO43" s="6">
        <f t="shared" si="31"/>
        <v>0.99999999999999989</v>
      </c>
      <c r="AP43" s="7">
        <f t="shared" si="32"/>
        <v>0.75623659421259981</v>
      </c>
      <c r="AQ43" s="7">
        <f t="shared" si="33"/>
        <v>0</v>
      </c>
      <c r="AR43" s="24"/>
      <c r="AS43">
        <f t="shared" si="34"/>
        <v>1996</v>
      </c>
      <c r="AT43" s="1" t="b">
        <f t="shared" si="35"/>
        <v>1</v>
      </c>
      <c r="AU43" s="1" t="b">
        <f t="shared" si="36"/>
        <v>1</v>
      </c>
      <c r="AX43" s="1" t="b">
        <f t="shared" si="8"/>
        <v>1</v>
      </c>
      <c r="AZ43" s="39" t="b">
        <f t="shared" si="37"/>
        <v>0</v>
      </c>
      <c r="BA43" s="1" t="b">
        <f t="shared" si="38"/>
        <v>1</v>
      </c>
      <c r="BC43">
        <f t="shared" si="39"/>
        <v>1996</v>
      </c>
      <c r="BD43" s="40">
        <f>$BK43*BD$39</f>
        <v>27246.046857344976</v>
      </c>
      <c r="BE43" s="40">
        <f>$BK43*BE$39</f>
        <v>40869.070286017464</v>
      </c>
      <c r="BF43" s="2"/>
      <c r="BG43" s="2"/>
      <c r="BH43" s="40">
        <f>$BK43*BH$39</f>
        <v>27246.046857344976</v>
      </c>
      <c r="BI43" s="2"/>
      <c r="BJ43" s="40">
        <f>$BK43*BJ$39</f>
        <v>40869.070286017464</v>
      </c>
      <c r="BK43" s="2">
        <f t="shared" si="41"/>
        <v>136230.23428672488</v>
      </c>
      <c r="BL43" s="2">
        <f t="shared" si="42"/>
        <v>0</v>
      </c>
      <c r="BM43" s="2"/>
    </row>
    <row r="44" spans="1:72" x14ac:dyDescent="0.25">
      <c r="A44">
        <f t="shared" si="6"/>
        <v>1997</v>
      </c>
      <c r="B44" s="2">
        <f t="shared" si="11"/>
        <v>36289.009809297779</v>
      </c>
      <c r="C44" s="2">
        <f t="shared" si="12"/>
        <v>51775.799073246941</v>
      </c>
      <c r="D44" s="2"/>
      <c r="E44" s="2"/>
      <c r="F44" s="2"/>
      <c r="G44" s="2">
        <f>BH43*(1+(G8/100))</f>
        <v>27246.046857344976</v>
      </c>
      <c r="H44" s="2">
        <f t="shared" si="14"/>
        <v>44727.110521017516</v>
      </c>
      <c r="I44" s="2">
        <f t="shared" si="43"/>
        <v>160037.96626090721</v>
      </c>
      <c r="J44" s="2">
        <f t="shared" si="15"/>
        <v>18197.111889136169</v>
      </c>
      <c r="K44" s="6">
        <f t="shared" si="16"/>
        <v>0.12829245826058513</v>
      </c>
      <c r="L44" s="7">
        <f t="shared" si="17"/>
        <v>1.1282924582605851</v>
      </c>
      <c r="N44">
        <f t="shared" si="18"/>
        <v>1997</v>
      </c>
      <c r="O44" s="2">
        <f t="shared" si="19"/>
        <v>5801.3811679377714</v>
      </c>
      <c r="P44" s="2"/>
      <c r="Q44" s="2"/>
      <c r="R44">
        <f t="shared" si="20"/>
        <v>1997</v>
      </c>
      <c r="S44" s="2">
        <f t="shared" si="21"/>
        <v>34838.664517313337</v>
      </c>
      <c r="T44" s="2">
        <f t="shared" si="21"/>
        <v>50325.453781262499</v>
      </c>
      <c r="U44" s="2"/>
      <c r="V44" s="2"/>
      <c r="W44" s="2"/>
      <c r="X44" s="2">
        <f t="shared" ref="X44:X45" si="44">G44-($O44/4)</f>
        <v>25795.701565360534</v>
      </c>
      <c r="Y44" s="2">
        <f t="shared" si="22"/>
        <v>43276.765229033073</v>
      </c>
      <c r="Z44" s="2">
        <f t="shared" si="23"/>
        <v>154236.58509296944</v>
      </c>
      <c r="AA44" s="2">
        <f t="shared" si="24"/>
        <v>18006.350806244562</v>
      </c>
      <c r="AB44" s="6">
        <f t="shared" si="25"/>
        <v>0.13217587784769164</v>
      </c>
      <c r="AC44" s="7">
        <f t="shared" si="26"/>
        <v>1.1321758778476916</v>
      </c>
      <c r="AD44" s="2">
        <f t="shared" si="27"/>
        <v>0</v>
      </c>
      <c r="AE44" s="2"/>
      <c r="AG44">
        <f t="shared" si="28"/>
        <v>1997</v>
      </c>
      <c r="AH44" s="6">
        <f t="shared" si="5"/>
        <v>0.2258780852565789</v>
      </c>
      <c r="AI44" s="38">
        <f t="shared" si="5"/>
        <v>0.32628739641070076</v>
      </c>
      <c r="AJ44" s="7"/>
      <c r="AK44" s="7"/>
      <c r="AL44" s="38">
        <f t="shared" si="29"/>
        <v>0</v>
      </c>
      <c r="AM44" s="7"/>
      <c r="AN44" s="6">
        <f t="shared" si="30"/>
        <v>0.28058689968367145</v>
      </c>
      <c r="AO44" s="6">
        <f t="shared" si="31"/>
        <v>0.83275238135095109</v>
      </c>
      <c r="AP44" s="7">
        <f t="shared" si="32"/>
        <v>0.55216548166727963</v>
      </c>
      <c r="AQ44" s="7">
        <f t="shared" si="33"/>
        <v>0</v>
      </c>
      <c r="AR44" s="24"/>
      <c r="AS44" s="1">
        <f t="shared" si="34"/>
        <v>1997</v>
      </c>
      <c r="AT44" s="1" t="b">
        <f t="shared" si="35"/>
        <v>1</v>
      </c>
      <c r="AU44" s="1" t="b">
        <f t="shared" ref="AU44" si="45">AND((T44/$Z44)&gt;0.25,(T44/$Z44)&lt;0.35)</f>
        <v>1</v>
      </c>
      <c r="AY44" s="1" t="b">
        <f t="shared" ref="AY44:AY64" si="46">AND((X44/$Z44)&gt;0.15,(X44/$Z44)&lt;0.25)</f>
        <v>1</v>
      </c>
      <c r="AZ44" s="1" t="b">
        <f t="shared" si="37"/>
        <v>1</v>
      </c>
      <c r="BA44" s="1" t="b">
        <f t="shared" si="38"/>
        <v>1</v>
      </c>
      <c r="BC44">
        <f t="shared" si="39"/>
        <v>1997</v>
      </c>
      <c r="BD44" s="2">
        <f t="shared" ref="BD44" si="47">S44</f>
        <v>34838.664517313337</v>
      </c>
      <c r="BE44" s="2">
        <f t="shared" ref="BE44" si="48">T44</f>
        <v>50325.453781262499</v>
      </c>
      <c r="BF44" s="2"/>
      <c r="BG44" s="2"/>
      <c r="BH44" s="2"/>
      <c r="BI44" s="2">
        <f t="shared" ref="BI44" si="49">X44</f>
        <v>25795.701565360534</v>
      </c>
      <c r="BJ44" s="2">
        <f>Y44</f>
        <v>43276.765229033073</v>
      </c>
      <c r="BK44" s="2">
        <f t="shared" si="41"/>
        <v>154236.58509296944</v>
      </c>
      <c r="BL44" s="2">
        <f t="shared" si="42"/>
        <v>0</v>
      </c>
      <c r="BM44" s="2"/>
      <c r="BN44" s="2"/>
      <c r="BO44" s="2"/>
      <c r="BP44" s="2"/>
      <c r="BQ44" s="2"/>
      <c r="BR44" s="2"/>
      <c r="BS44" s="2"/>
      <c r="BT44" s="2"/>
    </row>
    <row r="45" spans="1:72" x14ac:dyDescent="0.25">
      <c r="A45">
        <f t="shared" si="6"/>
        <v>1998</v>
      </c>
      <c r="B45" s="2">
        <f t="shared" si="11"/>
        <v>44823.425767975335</v>
      </c>
      <c r="C45" s="2">
        <f t="shared" si="12"/>
        <v>54529.138935611358</v>
      </c>
      <c r="D45" s="2"/>
      <c r="E45" s="2"/>
      <c r="F45" s="2"/>
      <c r="G45" s="2">
        <f t="shared" ref="G45:G64" si="50">BI44*(1+(G9/100))</f>
        <v>25795.701565360534</v>
      </c>
      <c r="H45" s="2">
        <f t="shared" si="14"/>
        <v>46989.911685684114</v>
      </c>
      <c r="I45" s="2">
        <f t="shared" si="43"/>
        <v>172138.17795463133</v>
      </c>
      <c r="J45" s="2">
        <f t="shared" si="15"/>
        <v>12100.211693724123</v>
      </c>
      <c r="K45" s="6">
        <f t="shared" si="16"/>
        <v>7.5608382038530472E-2</v>
      </c>
      <c r="L45" s="7">
        <f t="shared" si="17"/>
        <v>1.0756083820385305</v>
      </c>
      <c r="N45">
        <f t="shared" si="18"/>
        <v>1998</v>
      </c>
      <c r="O45" s="2">
        <f t="shared" si="19"/>
        <v>5900.0046477927126</v>
      </c>
      <c r="P45" s="2"/>
      <c r="Q45" s="2"/>
      <c r="R45">
        <f t="shared" si="20"/>
        <v>1998</v>
      </c>
      <c r="S45" s="2">
        <f t="shared" si="21"/>
        <v>43348.424606027154</v>
      </c>
      <c r="T45" s="2">
        <f t="shared" si="21"/>
        <v>53054.137773663177</v>
      </c>
      <c r="U45" s="2"/>
      <c r="V45" s="2"/>
      <c r="W45" s="2"/>
      <c r="X45" s="2">
        <f t="shared" si="44"/>
        <v>24320.700403412357</v>
      </c>
      <c r="Y45" s="2">
        <f t="shared" si="22"/>
        <v>45514.910523735933</v>
      </c>
      <c r="Z45" s="2">
        <f t="shared" si="23"/>
        <v>166238.17330683861</v>
      </c>
      <c r="AA45" s="2">
        <f t="shared" si="24"/>
        <v>12001.588213869167</v>
      </c>
      <c r="AB45" s="6">
        <f t="shared" si="25"/>
        <v>7.7812849698629866E-2</v>
      </c>
      <c r="AC45" s="7">
        <f t="shared" si="26"/>
        <v>1.0778128496986299</v>
      </c>
      <c r="AD45" s="2">
        <f t="shared" si="27"/>
        <v>0</v>
      </c>
      <c r="AE45" s="2"/>
      <c r="AG45">
        <f t="shared" si="28"/>
        <v>1998</v>
      </c>
      <c r="AH45" s="6">
        <f t="shared" si="5"/>
        <v>0.2607609536590349</v>
      </c>
      <c r="AI45" s="6">
        <f t="shared" si="5"/>
        <v>0.31914533658726546</v>
      </c>
      <c r="AJ45" s="7"/>
      <c r="AK45" s="7"/>
      <c r="AL45" s="6">
        <f t="shared" si="29"/>
        <v>0</v>
      </c>
      <c r="AM45" s="7"/>
      <c r="AN45" s="6">
        <f t="shared" si="30"/>
        <v>0.27379337500133349</v>
      </c>
      <c r="AO45" s="6">
        <f t="shared" si="31"/>
        <v>0.85369966524763385</v>
      </c>
      <c r="AP45" s="7">
        <f t="shared" si="32"/>
        <v>0.57990629024630036</v>
      </c>
      <c r="AQ45" s="7">
        <f t="shared" si="33"/>
        <v>0</v>
      </c>
      <c r="AR45" s="24"/>
      <c r="AS45">
        <f t="shared" si="34"/>
        <v>1998</v>
      </c>
      <c r="AT45" s="39" t="b">
        <f t="shared" si="35"/>
        <v>0</v>
      </c>
      <c r="AU45" s="1" t="b">
        <f t="shared" si="36"/>
        <v>1</v>
      </c>
      <c r="AY45" s="39" t="b">
        <f t="shared" si="46"/>
        <v>0</v>
      </c>
      <c r="AZ45" s="1" t="b">
        <f t="shared" si="37"/>
        <v>1</v>
      </c>
      <c r="BA45" s="1" t="b">
        <f t="shared" si="38"/>
        <v>1</v>
      </c>
      <c r="BC45">
        <f t="shared" si="39"/>
        <v>1998</v>
      </c>
      <c r="BD45" s="40">
        <f>$BK45*BD$39</f>
        <v>33247.634661367723</v>
      </c>
      <c r="BE45" s="40">
        <f>$BK45*BE$39</f>
        <v>49871.451992051581</v>
      </c>
      <c r="BF45" s="2"/>
      <c r="BG45" s="2"/>
      <c r="BH45" s="2"/>
      <c r="BI45" s="40">
        <f>$BK45*BI$39</f>
        <v>33247.634661367723</v>
      </c>
      <c r="BJ45" s="40">
        <f>$BK45*BJ$39</f>
        <v>49871.451992051581</v>
      </c>
      <c r="BK45" s="2">
        <f t="shared" si="41"/>
        <v>166238.17330683861</v>
      </c>
      <c r="BL45" s="2">
        <f t="shared" si="42"/>
        <v>0</v>
      </c>
      <c r="BM45" s="2"/>
    </row>
    <row r="46" spans="1:72" x14ac:dyDescent="0.25">
      <c r="A46">
        <f t="shared" si="6"/>
        <v>1999</v>
      </c>
      <c r="B46" s="2">
        <f t="shared" si="11"/>
        <v>40252.911284517904</v>
      </c>
      <c r="C46" s="2"/>
      <c r="D46" s="2">
        <f>($BE45*0.67)*(1+(D10/100))</f>
        <v>33413.872834674563</v>
      </c>
      <c r="E46" s="2">
        <f>($BE45*0.33)*(1+(E10/100))</f>
        <v>16457.579157377022</v>
      </c>
      <c r="F46" s="2"/>
      <c r="G46" s="2">
        <f t="shared" si="50"/>
        <v>33247.634661367723</v>
      </c>
      <c r="H46" s="2">
        <f t="shared" si="14"/>
        <v>49492.428956911986</v>
      </c>
      <c r="I46" s="2">
        <f t="shared" si="43"/>
        <v>172864.4268948492</v>
      </c>
      <c r="J46" s="2">
        <f t="shared" si="15"/>
        <v>726.24894021786167</v>
      </c>
      <c r="K46" s="6">
        <f t="shared" si="16"/>
        <v>4.2189881922026122E-3</v>
      </c>
      <c r="L46" s="7">
        <f t="shared" si="17"/>
        <v>1.0042189881922026</v>
      </c>
      <c r="N46">
        <f t="shared" si="18"/>
        <v>1999</v>
      </c>
      <c r="O46" s="2">
        <f t="shared" si="19"/>
        <v>5994.4047221573965</v>
      </c>
      <c r="P46" s="2"/>
      <c r="Q46" s="2"/>
      <c r="R46">
        <f t="shared" si="20"/>
        <v>1999</v>
      </c>
      <c r="S46" s="2">
        <f t="shared" ref="S46:S48" si="51">B46-($O46/5)</f>
        <v>39054.030340086421</v>
      </c>
      <c r="T46" s="2"/>
      <c r="U46" s="2">
        <f t="shared" ref="U46:U49" si="52">D46-($O46/5)</f>
        <v>32214.991890243084</v>
      </c>
      <c r="V46" s="2">
        <f t="shared" ref="V46:V49" si="53">E46-($O46/5)</f>
        <v>15258.698212945543</v>
      </c>
      <c r="W46" s="2"/>
      <c r="X46" s="2">
        <f t="shared" ref="X46:X48" si="54">G46-($O46/5)</f>
        <v>32048.753716936244</v>
      </c>
      <c r="Y46" s="2">
        <f t="shared" ref="Y46:Y48" si="55">H46-($O46/5)</f>
        <v>48293.548012480504</v>
      </c>
      <c r="Z46" s="2">
        <f t="shared" si="23"/>
        <v>166870.0221726918</v>
      </c>
      <c r="AA46" s="2">
        <f t="shared" si="24"/>
        <v>631.848865853186</v>
      </c>
      <c r="AB46" s="6">
        <f t="shared" si="25"/>
        <v>3.8008650677779877E-3</v>
      </c>
      <c r="AC46" s="7">
        <f t="shared" si="26"/>
        <v>1.0038008650677779</v>
      </c>
      <c r="AD46" s="2">
        <f t="shared" si="27"/>
        <v>0</v>
      </c>
      <c r="AE46" s="2"/>
      <c r="AG46">
        <f t="shared" si="28"/>
        <v>1999</v>
      </c>
      <c r="AH46" s="6">
        <f t="shared" si="5"/>
        <v>0.23403862378390453</v>
      </c>
      <c r="AI46" s="6">
        <f t="shared" si="5"/>
        <v>0</v>
      </c>
      <c r="AJ46" s="7"/>
      <c r="AK46" s="7"/>
      <c r="AL46" s="6"/>
      <c r="AM46" s="6">
        <f t="shared" si="29"/>
        <v>0.19205818576430325</v>
      </c>
      <c r="AN46" s="6">
        <f t="shared" si="30"/>
        <v>0.28940817160377724</v>
      </c>
      <c r="AO46" s="6">
        <f t="shared" si="31"/>
        <v>0.71550498115198502</v>
      </c>
      <c r="AP46" s="7">
        <f t="shared" si="32"/>
        <v>0.42609680954820778</v>
      </c>
      <c r="AQ46" s="7">
        <f t="shared" si="33"/>
        <v>0</v>
      </c>
      <c r="AR46" s="24"/>
      <c r="AS46">
        <f t="shared" si="34"/>
        <v>1999</v>
      </c>
      <c r="AT46" s="1" t="b">
        <f t="shared" si="35"/>
        <v>1</v>
      </c>
      <c r="AV46" s="1" t="b">
        <f>AND((U46/$Z46)&gt;0.15,(U46/$Z46)&lt;0.25)</f>
        <v>1</v>
      </c>
      <c r="AW46" s="1" t="b">
        <f>AND((V46/$Z46)&gt;0.05,(V46/$Z46)&lt;0.15)</f>
        <v>1</v>
      </c>
      <c r="AY46" s="1" t="b">
        <f t="shared" si="46"/>
        <v>1</v>
      </c>
      <c r="AZ46" s="1" t="b">
        <f t="shared" si="37"/>
        <v>1</v>
      </c>
      <c r="BA46" s="1" t="b">
        <f t="shared" si="38"/>
        <v>1</v>
      </c>
      <c r="BC46">
        <f t="shared" si="39"/>
        <v>1999</v>
      </c>
      <c r="BD46" s="2">
        <f t="shared" ref="BD46" si="56">S46</f>
        <v>39054.030340086421</v>
      </c>
      <c r="BE46" s="2"/>
      <c r="BF46" s="2">
        <f t="shared" ref="BF46" si="57">U46</f>
        <v>32214.991890243084</v>
      </c>
      <c r="BG46" s="2">
        <f t="shared" ref="BG46" si="58">V46</f>
        <v>15258.698212945543</v>
      </c>
      <c r="BH46" s="2"/>
      <c r="BI46" s="2">
        <f t="shared" ref="BI46" si="59">X46</f>
        <v>32048.753716936244</v>
      </c>
      <c r="BJ46" s="2">
        <f t="shared" ref="BJ46" si="60">Y46</f>
        <v>48293.548012480504</v>
      </c>
      <c r="BK46" s="2">
        <f t="shared" si="41"/>
        <v>166870.0221726918</v>
      </c>
      <c r="BL46" s="2">
        <f t="shared" si="42"/>
        <v>0</v>
      </c>
      <c r="BM46" s="2"/>
    </row>
    <row r="47" spans="1:72" x14ac:dyDescent="0.25">
      <c r="A47">
        <f t="shared" si="6"/>
        <v>2000</v>
      </c>
      <c r="B47" s="2">
        <f t="shared" si="11"/>
        <v>35515.735191274594</v>
      </c>
      <c r="C47" s="2"/>
      <c r="D47" s="2">
        <f t="shared" ref="D47:D48" si="61">BF46*(1+(D11/100))</f>
        <v>32214.991890243084</v>
      </c>
      <c r="E47" s="2">
        <f t="shared" ref="E47:E48" si="62">BG46*(1+(E11/100))</f>
        <v>15258.698212945543</v>
      </c>
      <c r="F47" s="2"/>
      <c r="G47" s="2">
        <f t="shared" si="50"/>
        <v>27044.661311573822</v>
      </c>
      <c r="H47" s="2">
        <f t="shared" si="14"/>
        <v>53794.183131102036</v>
      </c>
      <c r="I47" s="2">
        <f t="shared" si="43"/>
        <v>163828.26973713908</v>
      </c>
      <c r="J47" s="2">
        <f t="shared" si="15"/>
        <v>-9036.1571577101131</v>
      </c>
      <c r="K47" s="6">
        <f t="shared" si="16"/>
        <v>-5.2273086603333782E-2</v>
      </c>
      <c r="L47" s="7">
        <f t="shared" si="17"/>
        <v>0.94772691339666626</v>
      </c>
      <c r="N47">
        <f t="shared" si="18"/>
        <v>2000</v>
      </c>
      <c r="O47" s="2">
        <f t="shared" si="19"/>
        <v>6156.2536496556459</v>
      </c>
      <c r="P47" s="2"/>
      <c r="Q47" s="2"/>
      <c r="R47">
        <f t="shared" si="20"/>
        <v>2000</v>
      </c>
      <c r="S47" s="2">
        <f t="shared" si="51"/>
        <v>34284.484461343469</v>
      </c>
      <c r="T47" s="2"/>
      <c r="U47" s="2">
        <f t="shared" si="52"/>
        <v>30983.741160311954</v>
      </c>
      <c r="V47" s="2">
        <f t="shared" si="53"/>
        <v>14027.447483014414</v>
      </c>
      <c r="W47" s="2"/>
      <c r="X47" s="2">
        <f t="shared" si="54"/>
        <v>25813.410581642693</v>
      </c>
      <c r="Y47" s="2">
        <f t="shared" si="55"/>
        <v>52562.93240117091</v>
      </c>
      <c r="Z47" s="2">
        <f t="shared" si="23"/>
        <v>157672.01608748344</v>
      </c>
      <c r="AA47" s="2">
        <f t="shared" si="24"/>
        <v>-9198.0060852083552</v>
      </c>
      <c r="AB47" s="6">
        <f t="shared" si="25"/>
        <v>-5.5120781824367762E-2</v>
      </c>
      <c r="AC47" s="7">
        <f t="shared" si="26"/>
        <v>0.94487921817563225</v>
      </c>
      <c r="AD47" s="2">
        <f t="shared" si="27"/>
        <v>0</v>
      </c>
      <c r="AE47" s="2"/>
      <c r="AG47">
        <f t="shared" si="28"/>
        <v>2000</v>
      </c>
      <c r="AH47" s="6">
        <f t="shared" si="5"/>
        <v>0.21744178397719552</v>
      </c>
      <c r="AI47" s="6">
        <f t="shared" si="5"/>
        <v>0</v>
      </c>
      <c r="AJ47" s="7"/>
      <c r="AK47" s="7"/>
      <c r="AL47" s="6"/>
      <c r="AM47" s="6">
        <f t="shared" si="29"/>
        <v>0.16371586551744391</v>
      </c>
      <c r="AN47" s="6">
        <f t="shared" si="30"/>
        <v>0.33336881017622466</v>
      </c>
      <c r="AO47" s="6">
        <f t="shared" si="31"/>
        <v>0.71452645967086403</v>
      </c>
      <c r="AP47" s="7">
        <f t="shared" si="32"/>
        <v>0.38115764949463943</v>
      </c>
      <c r="AQ47" s="7">
        <f t="shared" si="33"/>
        <v>0</v>
      </c>
      <c r="AR47" s="24"/>
      <c r="AS47">
        <f t="shared" si="34"/>
        <v>2000</v>
      </c>
      <c r="AT47" s="1" t="b">
        <f t="shared" si="35"/>
        <v>1</v>
      </c>
      <c r="AU47" s="1"/>
      <c r="AV47" s="1" t="b">
        <f>AND((U47/$Z47)&gt;0.15,(U47/$Z47)&lt;0.25)</f>
        <v>1</v>
      </c>
      <c r="AW47" s="1" t="b">
        <f>AND((V47/$Z47)&gt;0.05,(V47/$Z47)&lt;0.15)</f>
        <v>1</v>
      </c>
      <c r="AX47" s="1"/>
      <c r="AY47" s="1" t="b">
        <f t="shared" si="46"/>
        <v>1</v>
      </c>
      <c r="AZ47" s="1" t="b">
        <f t="shared" si="37"/>
        <v>1</v>
      </c>
      <c r="BA47" s="1" t="b">
        <f t="shared" si="38"/>
        <v>1</v>
      </c>
      <c r="BC47">
        <f t="shared" si="39"/>
        <v>2000</v>
      </c>
      <c r="BD47" s="2">
        <f t="shared" ref="BD47:BD64" si="63">S47</f>
        <v>34284.484461343469</v>
      </c>
      <c r="BE47" s="2"/>
      <c r="BF47" s="2">
        <f t="shared" ref="BF47" si="64">U47</f>
        <v>30983.741160311954</v>
      </c>
      <c r="BG47" s="2">
        <f t="shared" ref="BG47" si="65">V47</f>
        <v>14027.447483014414</v>
      </c>
      <c r="BH47" s="2"/>
      <c r="BI47" s="2">
        <f t="shared" ref="BI47" si="66">X47</f>
        <v>25813.410581642693</v>
      </c>
      <c r="BJ47" s="2">
        <f t="shared" ref="BJ47" si="67">Y47</f>
        <v>52562.93240117091</v>
      </c>
      <c r="BK47" s="2">
        <f t="shared" si="41"/>
        <v>157672.01608748344</v>
      </c>
      <c r="BL47" s="2">
        <f t="shared" si="42"/>
        <v>0</v>
      </c>
      <c r="BM47" s="2"/>
    </row>
    <row r="48" spans="1:72" x14ac:dyDescent="0.25">
      <c r="A48">
        <f t="shared" si="6"/>
        <v>2001</v>
      </c>
      <c r="B48" s="2">
        <f t="shared" si="11"/>
        <v>30163.489429089987</v>
      </c>
      <c r="C48" s="2"/>
      <c r="D48" s="2">
        <f t="shared" si="61"/>
        <v>30983.741160311954</v>
      </c>
      <c r="E48" s="2">
        <f t="shared" si="62"/>
        <v>14027.447483014414</v>
      </c>
      <c r="F48" s="2"/>
      <c r="G48" s="2">
        <f t="shared" si="50"/>
        <v>20611.233947124241</v>
      </c>
      <c r="H48" s="2">
        <f t="shared" si="14"/>
        <v>56993.987602589623</v>
      </c>
      <c r="I48" s="2">
        <f t="shared" si="43"/>
        <v>152779.89962213021</v>
      </c>
      <c r="J48" s="2">
        <f t="shared" si="15"/>
        <v>-11048.370115008875</v>
      </c>
      <c r="K48" s="6">
        <f t="shared" si="16"/>
        <v>-6.743872796029575E-2</v>
      </c>
      <c r="L48" s="7">
        <f t="shared" si="17"/>
        <v>0.93256127203970429</v>
      </c>
      <c r="N48">
        <f t="shared" si="18"/>
        <v>2001</v>
      </c>
      <c r="O48" s="2">
        <f t="shared" si="19"/>
        <v>6365.5662737439379</v>
      </c>
      <c r="P48" s="2"/>
      <c r="Q48" s="2"/>
      <c r="R48">
        <f t="shared" si="20"/>
        <v>2001</v>
      </c>
      <c r="S48" s="2">
        <f t="shared" si="51"/>
        <v>28890.3761743412</v>
      </c>
      <c r="T48" s="2"/>
      <c r="U48" s="2">
        <f t="shared" si="52"/>
        <v>29710.627905563168</v>
      </c>
      <c r="V48" s="2">
        <f t="shared" si="53"/>
        <v>12754.334228265627</v>
      </c>
      <c r="W48" s="2"/>
      <c r="X48" s="2">
        <f t="shared" si="54"/>
        <v>19338.120692375454</v>
      </c>
      <c r="Y48" s="2">
        <f t="shared" si="55"/>
        <v>55720.874347840836</v>
      </c>
      <c r="Z48" s="2">
        <f t="shared" si="23"/>
        <v>146414.33334838628</v>
      </c>
      <c r="AA48" s="2">
        <f t="shared" si="24"/>
        <v>-11257.682739097159</v>
      </c>
      <c r="AB48" s="6">
        <f t="shared" si="25"/>
        <v>-7.1399370785307253E-2</v>
      </c>
      <c r="AC48" s="7">
        <f t="shared" si="26"/>
        <v>0.92860062921469277</v>
      </c>
      <c r="AD48" s="2">
        <f t="shared" si="27"/>
        <v>0</v>
      </c>
      <c r="AE48" s="2"/>
      <c r="AG48">
        <f t="shared" si="28"/>
        <v>2001</v>
      </c>
      <c r="AH48" s="6">
        <f t="shared" si="5"/>
        <v>0.19731931644696191</v>
      </c>
      <c r="AI48" s="6">
        <f t="shared" si="5"/>
        <v>0</v>
      </c>
      <c r="AJ48" s="6">
        <f t="shared" ref="AJ48:AJ52" si="68">U48/$Z48</f>
        <v>0.20292158032689378</v>
      </c>
      <c r="AK48" s="6">
        <f t="shared" ref="AK48:AK52" si="69">V48/$Z48</f>
        <v>8.7111240659186462E-2</v>
      </c>
      <c r="AL48" s="6"/>
      <c r="AM48" s="6">
        <f t="shared" si="29"/>
        <v>0.13207805718283927</v>
      </c>
      <c r="AN48" s="38">
        <f t="shared" si="30"/>
        <v>0.38056980538411861</v>
      </c>
      <c r="AO48" s="6">
        <f t="shared" si="31"/>
        <v>1</v>
      </c>
      <c r="AP48" s="7">
        <f t="shared" si="32"/>
        <v>0.61943019461588134</v>
      </c>
      <c r="AQ48" s="7">
        <f t="shared" si="33"/>
        <v>0</v>
      </c>
      <c r="AR48" s="24"/>
      <c r="AS48">
        <f t="shared" si="34"/>
        <v>2001</v>
      </c>
      <c r="AT48" s="1" t="b">
        <f t="shared" ref="AT48" si="70">AND((S48/$Z48)&gt;0.15,(S48/$Z48)&lt;0.25)</f>
        <v>1</v>
      </c>
      <c r="AV48" s="1" t="b">
        <f t="shared" ref="AV48:AV50" si="71">AND((U48/$Z48)&gt;0.15,(U48/$Z48)&lt;0.25)</f>
        <v>1</v>
      </c>
      <c r="AW48" s="1" t="b">
        <f t="shared" ref="AW48:AW50" si="72">AND((V48/$Z48)&gt;0.05,(V48/$Z48)&lt;0.15)</f>
        <v>1</v>
      </c>
      <c r="AY48" s="39" t="b">
        <f t="shared" si="46"/>
        <v>0</v>
      </c>
      <c r="AZ48" s="39" t="b">
        <f t="shared" ref="AZ48" si="73">AND((Y48/$Z48)&gt;0.25,(Y48/$Z48)&lt;0.35)</f>
        <v>0</v>
      </c>
      <c r="BA48" s="1" t="b">
        <f t="shared" si="38"/>
        <v>1</v>
      </c>
      <c r="BC48">
        <f t="shared" si="39"/>
        <v>2001</v>
      </c>
      <c r="BD48" s="40">
        <f>$BK48*BD$39</f>
        <v>29282.866669677256</v>
      </c>
      <c r="BE48" s="2"/>
      <c r="BF48" s="40">
        <f>$BK48*BF$39</f>
        <v>29282.866669677256</v>
      </c>
      <c r="BG48" s="40">
        <f>$BK48*BG$39</f>
        <v>14641.433334838628</v>
      </c>
      <c r="BH48" s="2"/>
      <c r="BI48" s="40">
        <f>$BK48*BI$39</f>
        <v>29282.866669677256</v>
      </c>
      <c r="BJ48" s="40">
        <f>$BK48*BJ$39</f>
        <v>43924.300004515884</v>
      </c>
      <c r="BK48" s="2">
        <f t="shared" si="41"/>
        <v>146414.33334838628</v>
      </c>
      <c r="BL48" s="2">
        <f t="shared" si="42"/>
        <v>0</v>
      </c>
      <c r="BM48" s="2"/>
    </row>
    <row r="49" spans="1:65" x14ac:dyDescent="0.25">
      <c r="A49">
        <f t="shared" si="6"/>
        <v>2002</v>
      </c>
      <c r="B49" s="2">
        <f t="shared" si="11"/>
        <v>22796.711702343742</v>
      </c>
      <c r="C49" s="2"/>
      <c r="D49" s="2">
        <f t="shared" ref="D49:D51" si="74">BF48*(1+(D13/100))</f>
        <v>25005.225506570801</v>
      </c>
      <c r="E49" s="2">
        <f t="shared" ref="E49:E51" si="75">BG48*(1+(E13/100))</f>
        <v>11709.925552537239</v>
      </c>
      <c r="F49" s="2"/>
      <c r="G49" s="2">
        <f t="shared" si="50"/>
        <v>24866.131889889835</v>
      </c>
      <c r="H49" s="2">
        <f t="shared" si="14"/>
        <v>47552.447184888893</v>
      </c>
      <c r="I49" s="2">
        <f t="shared" si="43"/>
        <v>131930.44183623052</v>
      </c>
      <c r="J49" s="2">
        <f t="shared" si="15"/>
        <v>-20849.457785899693</v>
      </c>
      <c r="K49" s="6">
        <f t="shared" si="16"/>
        <v>-0.13646728291788748</v>
      </c>
      <c r="L49" s="7">
        <f t="shared" si="17"/>
        <v>0.86353271708211254</v>
      </c>
      <c r="N49">
        <f t="shared" si="18"/>
        <v>2002</v>
      </c>
      <c r="O49" s="2">
        <f t="shared" si="19"/>
        <v>6467.4153341238407</v>
      </c>
      <c r="P49" s="2"/>
      <c r="Q49" s="2"/>
      <c r="R49">
        <f t="shared" si="20"/>
        <v>2002</v>
      </c>
      <c r="S49" s="2">
        <f t="shared" ref="S49" si="76">B49-($O49/5)</f>
        <v>21503.228635518975</v>
      </c>
      <c r="T49" s="2"/>
      <c r="U49" s="2">
        <f t="shared" si="52"/>
        <v>23711.742439746035</v>
      </c>
      <c r="V49" s="2">
        <f t="shared" si="53"/>
        <v>10416.44248571247</v>
      </c>
      <c r="W49" s="2"/>
      <c r="X49" s="2">
        <f t="shared" ref="X49" si="77">G49-($O49/5)</f>
        <v>23572.648823065068</v>
      </c>
      <c r="Y49" s="2">
        <f t="shared" ref="Y49" si="78">H49-($O49/5)</f>
        <v>46258.964118064127</v>
      </c>
      <c r="Z49" s="2">
        <f t="shared" si="23"/>
        <v>125463.02650210669</v>
      </c>
      <c r="AA49" s="2">
        <f t="shared" si="24"/>
        <v>-20951.306846279593</v>
      </c>
      <c r="AB49" s="6">
        <f t="shared" si="25"/>
        <v>-0.14309600957186963</v>
      </c>
      <c r="AC49" s="7">
        <f t="shared" si="26"/>
        <v>0.85690399042813037</v>
      </c>
      <c r="AD49" s="2">
        <f t="shared" si="27"/>
        <v>0</v>
      </c>
      <c r="AE49" s="2"/>
      <c r="AG49">
        <f t="shared" si="28"/>
        <v>2002</v>
      </c>
      <c r="AH49" s="6">
        <f t="shared" si="5"/>
        <v>0.17139096062821271</v>
      </c>
      <c r="AI49" s="6">
        <f t="shared" si="5"/>
        <v>0</v>
      </c>
      <c r="AJ49" s="6">
        <f t="shared" si="68"/>
        <v>0.18899386616779792</v>
      </c>
      <c r="AK49" s="6">
        <f t="shared" si="69"/>
        <v>8.3024001382092955E-2</v>
      </c>
      <c r="AL49" s="6"/>
      <c r="AM49" s="6">
        <f t="shared" si="29"/>
        <v>0.18788522388043344</v>
      </c>
      <c r="AN49" s="6">
        <f t="shared" si="30"/>
        <v>0.36870594794146289</v>
      </c>
      <c r="AO49" s="6">
        <f t="shared" si="31"/>
        <v>1</v>
      </c>
      <c r="AP49" s="7">
        <f t="shared" si="32"/>
        <v>0.63129405205853706</v>
      </c>
      <c r="AQ49" s="7">
        <f t="shared" si="33"/>
        <v>0</v>
      </c>
      <c r="AR49" s="24"/>
      <c r="AS49">
        <f t="shared" si="34"/>
        <v>2002</v>
      </c>
      <c r="AT49" s="1" t="b">
        <f t="shared" si="35"/>
        <v>1</v>
      </c>
      <c r="AV49" s="1" t="b">
        <f t="shared" si="71"/>
        <v>1</v>
      </c>
      <c r="AW49" s="1" t="b">
        <f t="shared" si="72"/>
        <v>1</v>
      </c>
      <c r="AY49" s="39" t="b">
        <f t="shared" si="46"/>
        <v>1</v>
      </c>
      <c r="AZ49" s="39" t="b">
        <f t="shared" si="37"/>
        <v>0</v>
      </c>
      <c r="BA49" s="1" t="b">
        <f t="shared" si="38"/>
        <v>1</v>
      </c>
      <c r="BC49">
        <f t="shared" si="39"/>
        <v>2002</v>
      </c>
      <c r="BD49" s="40">
        <f>$BK49*BD$39</f>
        <v>25092.605300421339</v>
      </c>
      <c r="BE49" s="2"/>
      <c r="BF49" s="40">
        <f>$BK49*BF$39</f>
        <v>25092.605300421339</v>
      </c>
      <c r="BG49" s="40">
        <f>$BK49*BG$39</f>
        <v>12546.30265021067</v>
      </c>
      <c r="BH49" s="2"/>
      <c r="BI49" s="40">
        <f>$BK49*BI$39</f>
        <v>25092.605300421339</v>
      </c>
      <c r="BJ49" s="40">
        <f>$BK49*BJ$39</f>
        <v>37638.907950632005</v>
      </c>
      <c r="BK49" s="2">
        <f t="shared" si="41"/>
        <v>125463.02650210669</v>
      </c>
      <c r="BL49" s="2">
        <f t="shared" si="42"/>
        <v>0</v>
      </c>
      <c r="BM49" s="2"/>
    </row>
    <row r="50" spans="1:65" x14ac:dyDescent="0.25">
      <c r="A50">
        <f t="shared" si="6"/>
        <v>2003</v>
      </c>
      <c r="B50" s="2">
        <f t="shared" si="11"/>
        <v>32243.997811041419</v>
      </c>
      <c r="C50" s="2"/>
      <c r="D50" s="2">
        <f t="shared" si="74"/>
        <v>33659.722602091191</v>
      </c>
      <c r="E50" s="2">
        <f t="shared" si="75"/>
        <v>18270.929623448796</v>
      </c>
      <c r="F50" s="2"/>
      <c r="G50" s="2">
        <f t="shared" si="50"/>
        <v>35214.962278611303</v>
      </c>
      <c r="H50" s="2">
        <f t="shared" si="14"/>
        <v>39133.172596272096</v>
      </c>
      <c r="I50" s="2">
        <f t="shared" si="43"/>
        <v>158522.78491146481</v>
      </c>
      <c r="J50" s="2">
        <f t="shared" si="15"/>
        <v>26592.343075234297</v>
      </c>
      <c r="K50" s="6">
        <f t="shared" si="16"/>
        <v>0.20156335948790519</v>
      </c>
      <c r="L50" s="7">
        <f t="shared" si="17"/>
        <v>1.2015633594879052</v>
      </c>
      <c r="N50">
        <f t="shared" si="18"/>
        <v>2003</v>
      </c>
      <c r="O50" s="2">
        <f t="shared" si="19"/>
        <v>6629.1007174769366</v>
      </c>
      <c r="P50" s="2"/>
      <c r="Q50" s="2"/>
      <c r="R50">
        <f t="shared" si="20"/>
        <v>2003</v>
      </c>
      <c r="S50" s="2">
        <f t="shared" ref="S50" si="79">B50-($O50/5)</f>
        <v>30918.177667546031</v>
      </c>
      <c r="T50" s="2"/>
      <c r="U50" s="2">
        <f t="shared" ref="U50" si="80">D50-($O50/5)</f>
        <v>32333.902458595803</v>
      </c>
      <c r="V50" s="2">
        <f t="shared" ref="V50" si="81">E50-($O50/5)</f>
        <v>16945.109479953408</v>
      </c>
      <c r="W50" s="2"/>
      <c r="X50" s="2">
        <f t="shared" ref="X50" si="82">G50-($O50/5)</f>
        <v>33889.142135115915</v>
      </c>
      <c r="Y50" s="2">
        <f t="shared" ref="Y50" si="83">H50-($O50/5)</f>
        <v>37807.352452776708</v>
      </c>
      <c r="Z50" s="2">
        <f t="shared" si="23"/>
        <v>151893.68419398787</v>
      </c>
      <c r="AA50" s="2">
        <f t="shared" si="24"/>
        <v>26430.657691881177</v>
      </c>
      <c r="AB50" s="6">
        <f t="shared" si="25"/>
        <v>0.21066491402897389</v>
      </c>
      <c r="AC50" s="7">
        <f t="shared" si="26"/>
        <v>1.2106649140289738</v>
      </c>
      <c r="AD50" s="2">
        <f t="shared" si="27"/>
        <v>0</v>
      </c>
      <c r="AE50" s="2"/>
      <c r="AG50">
        <f t="shared" si="28"/>
        <v>2003</v>
      </c>
      <c r="AH50" s="38">
        <f t="shared" si="5"/>
        <v>0.20355143685934646</v>
      </c>
      <c r="AI50" s="6">
        <f t="shared" si="5"/>
        <v>0</v>
      </c>
      <c r="AJ50" s="6">
        <f t="shared" si="68"/>
        <v>0.21287193493378717</v>
      </c>
      <c r="AK50" s="6">
        <f t="shared" si="69"/>
        <v>0.11155901293639249</v>
      </c>
      <c r="AL50" s="7"/>
      <c r="AM50" s="6">
        <f t="shared" si="29"/>
        <v>0.22311093654055492</v>
      </c>
      <c r="AN50" s="6">
        <f t="shared" si="30"/>
        <v>0.24890667872991895</v>
      </c>
      <c r="AO50" s="6">
        <f t="shared" si="31"/>
        <v>1</v>
      </c>
      <c r="AP50" s="7">
        <f t="shared" si="32"/>
        <v>0.75109332127008099</v>
      </c>
      <c r="AQ50" s="7">
        <f t="shared" si="33"/>
        <v>0</v>
      </c>
      <c r="AR50" s="24"/>
      <c r="AS50">
        <f t="shared" si="34"/>
        <v>2003</v>
      </c>
      <c r="AT50" s="1" t="b">
        <f t="shared" si="35"/>
        <v>1</v>
      </c>
      <c r="AV50" s="1" t="b">
        <f t="shared" si="71"/>
        <v>1</v>
      </c>
      <c r="AW50" s="1" t="b">
        <f t="shared" si="72"/>
        <v>1</v>
      </c>
      <c r="AY50" s="1" t="b">
        <f t="shared" si="46"/>
        <v>1</v>
      </c>
      <c r="AZ50" s="39" t="b">
        <f t="shared" si="37"/>
        <v>0</v>
      </c>
      <c r="BA50" s="1" t="b">
        <f t="shared" si="38"/>
        <v>1</v>
      </c>
      <c r="BC50">
        <f t="shared" si="39"/>
        <v>2003</v>
      </c>
      <c r="BD50" s="40">
        <f t="shared" ref="BD50" si="84">S50</f>
        <v>30918.177667546031</v>
      </c>
      <c r="BE50" s="2"/>
      <c r="BF50" s="40">
        <f t="shared" ref="BF50" si="85">U50</f>
        <v>32333.902458595803</v>
      </c>
      <c r="BG50" s="40">
        <f t="shared" ref="BG50" si="86">V50</f>
        <v>16945.109479953408</v>
      </c>
      <c r="BH50" s="2"/>
      <c r="BI50" s="40">
        <f>X50</f>
        <v>33889.142135115915</v>
      </c>
      <c r="BJ50" s="40">
        <f t="shared" ref="BJ50" si="87">Y50</f>
        <v>37807.352452776708</v>
      </c>
      <c r="BK50" s="2">
        <f t="shared" si="41"/>
        <v>151893.68419398787</v>
      </c>
      <c r="BL50" s="2">
        <f t="shared" si="42"/>
        <v>0</v>
      </c>
      <c r="BM50" s="2"/>
    </row>
    <row r="51" spans="1:65" x14ac:dyDescent="0.25">
      <c r="A51">
        <f t="shared" si="6"/>
        <v>2004</v>
      </c>
      <c r="B51" s="2">
        <f t="shared" ref="B51:B64" si="88">BD50*(1+(B15/100))</f>
        <v>34238.789949040474</v>
      </c>
      <c r="C51" s="2"/>
      <c r="D51" s="2">
        <f t="shared" si="74"/>
        <v>38914.821625993805</v>
      </c>
      <c r="E51" s="2">
        <f t="shared" si="75"/>
        <v>20316.677913179738</v>
      </c>
      <c r="F51" s="2"/>
      <c r="G51" s="2">
        <f t="shared" si="50"/>
        <v>40950.622681810019</v>
      </c>
      <c r="H51" s="2">
        <f t="shared" si="14"/>
        <v>39410.384196774437</v>
      </c>
      <c r="I51" s="2">
        <f t="shared" si="43"/>
        <v>173831.29636679846</v>
      </c>
      <c r="J51" s="2">
        <f t="shared" si="15"/>
        <v>15308.511455333646</v>
      </c>
      <c r="K51" s="6">
        <f t="shared" si="16"/>
        <v>9.6569786254281809E-2</v>
      </c>
      <c r="L51" s="7">
        <f t="shared" si="17"/>
        <v>1.0965697862542818</v>
      </c>
      <c r="N51">
        <f t="shared" si="18"/>
        <v>2004</v>
      </c>
      <c r="O51" s="2">
        <f t="shared" si="19"/>
        <v>6761.682731826475</v>
      </c>
      <c r="P51" s="2"/>
      <c r="Q51" s="2"/>
      <c r="R51">
        <f t="shared" si="20"/>
        <v>2004</v>
      </c>
      <c r="S51" s="2">
        <f>B51-($O51/5)</f>
        <v>32886.453402675179</v>
      </c>
      <c r="T51" s="2"/>
      <c r="U51" s="2">
        <f>D51-($O51/5)</f>
        <v>37562.48507962851</v>
      </c>
      <c r="V51" s="2">
        <f>E51-($O51/5)</f>
        <v>18964.341366814442</v>
      </c>
      <c r="W51" s="2"/>
      <c r="X51" s="2">
        <f>G51-($O51/5)</f>
        <v>39598.286135444723</v>
      </c>
      <c r="Y51" s="2">
        <f>H51-($O51/5)</f>
        <v>38058.047650409142</v>
      </c>
      <c r="Z51" s="2">
        <f t="shared" si="23"/>
        <v>167069.61363497202</v>
      </c>
      <c r="AA51" s="2">
        <f t="shared" si="24"/>
        <v>15175.929440984153</v>
      </c>
      <c r="AB51" s="6">
        <f t="shared" si="25"/>
        <v>9.9911523783981229E-2</v>
      </c>
      <c r="AC51" s="7">
        <f t="shared" si="26"/>
        <v>1.0999115237839812</v>
      </c>
      <c r="AD51" s="2">
        <f t="shared" si="27"/>
        <v>0</v>
      </c>
      <c r="AE51" s="2"/>
      <c r="AG51">
        <f t="shared" si="28"/>
        <v>2004</v>
      </c>
      <c r="AH51" s="6">
        <f t="shared" si="5"/>
        <v>0.19684281711770948</v>
      </c>
      <c r="AI51" s="7"/>
      <c r="AJ51" s="6">
        <f t="shared" si="68"/>
        <v>0.22483133983716655</v>
      </c>
      <c r="AK51" s="6">
        <f t="shared" si="69"/>
        <v>0.11351161323835558</v>
      </c>
      <c r="AL51" s="7"/>
      <c r="AM51" s="6">
        <f t="shared" si="29"/>
        <v>0.23701668588258332</v>
      </c>
      <c r="AN51" s="6">
        <f t="shared" si="30"/>
        <v>0.22779754392418491</v>
      </c>
      <c r="AO51" s="6">
        <f t="shared" si="31"/>
        <v>0.99999999999999989</v>
      </c>
      <c r="AP51" s="7">
        <f t="shared" si="32"/>
        <v>0.77220245607581495</v>
      </c>
      <c r="AQ51" s="7">
        <f t="shared" si="33"/>
        <v>0</v>
      </c>
      <c r="AR51" s="24"/>
      <c r="AS51">
        <f t="shared" si="34"/>
        <v>2004</v>
      </c>
      <c r="AT51" s="1" t="b">
        <f t="shared" si="35"/>
        <v>1</v>
      </c>
      <c r="AV51" s="1" t="b">
        <f>AND((U51/$Z51)&gt;0.15,(U51/$Z51)&lt;0.25)</f>
        <v>1</v>
      </c>
      <c r="AW51" s="1" t="b">
        <f>AND((V51/$Z51)&gt;0.05,(V51/$Z51)&lt;0.15)</f>
        <v>1</v>
      </c>
      <c r="AY51" s="1" t="b">
        <f t="shared" si="46"/>
        <v>1</v>
      </c>
      <c r="AZ51" s="39" t="b">
        <f t="shared" si="37"/>
        <v>0</v>
      </c>
      <c r="BA51" s="1" t="b">
        <f t="shared" si="38"/>
        <v>1</v>
      </c>
      <c r="BC51">
        <f t="shared" si="39"/>
        <v>2004</v>
      </c>
      <c r="BD51" s="40">
        <f>$BK51*BD$39</f>
        <v>33413.922726994402</v>
      </c>
      <c r="BE51" s="2"/>
      <c r="BF51" s="40">
        <f t="shared" ref="BF51:BG51" si="89">$BK51*BF$39</f>
        <v>33413.922726994402</v>
      </c>
      <c r="BG51" s="40">
        <f t="shared" si="89"/>
        <v>16706.961363497201</v>
      </c>
      <c r="BH51" s="2"/>
      <c r="BI51" s="40">
        <f>$BK51*BI$39</f>
        <v>33413.922726994402</v>
      </c>
      <c r="BJ51" s="40">
        <f t="shared" ref="BJ51" si="90">$BK51*BJ$39</f>
        <v>50120.884090491607</v>
      </c>
      <c r="BK51" s="2">
        <f t="shared" si="41"/>
        <v>167069.61363497202</v>
      </c>
      <c r="BL51" s="2">
        <f t="shared" si="42"/>
        <v>0</v>
      </c>
      <c r="BM51" s="2"/>
    </row>
    <row r="52" spans="1:65" x14ac:dyDescent="0.25">
      <c r="A52">
        <f t="shared" si="6"/>
        <v>2005</v>
      </c>
      <c r="B52" s="2">
        <f t="shared" si="88"/>
        <v>35007.766841072036</v>
      </c>
      <c r="C52" s="2"/>
      <c r="D52" s="2">
        <f t="shared" ref="D52:D64" si="91">BF51*(1+(D16/100))</f>
        <v>38068.816302091996</v>
      </c>
      <c r="E52" s="2">
        <f t="shared" ref="E52:E64" si="92">BG51*(1+(E16/100))</f>
        <v>17937.094928691502</v>
      </c>
      <c r="F52" s="2"/>
      <c r="G52" s="2">
        <f t="shared" si="50"/>
        <v>38616.804634814704</v>
      </c>
      <c r="H52" s="2">
        <f t="shared" si="14"/>
        <v>51323.785308663406</v>
      </c>
      <c r="I52" s="2">
        <f t="shared" si="43"/>
        <v>180954.26801533363</v>
      </c>
      <c r="J52" s="2">
        <f t="shared" si="15"/>
        <v>7122.9716485351673</v>
      </c>
      <c r="K52" s="6">
        <f t="shared" si="16"/>
        <v>4.097634774295824E-2</v>
      </c>
      <c r="L52" s="7">
        <f t="shared" si="17"/>
        <v>1.0409763477429583</v>
      </c>
      <c r="N52">
        <f t="shared" si="18"/>
        <v>2005</v>
      </c>
      <c r="O52" s="2">
        <f t="shared" si="19"/>
        <v>6984.8182619767485</v>
      </c>
      <c r="P52" s="2"/>
      <c r="Q52" s="2"/>
      <c r="R52">
        <f t="shared" si="20"/>
        <v>2005</v>
      </c>
      <c r="S52" s="2">
        <f t="shared" ref="S52:S64" si="93">B52-($O52/5)</f>
        <v>33610.803188676684</v>
      </c>
      <c r="T52" s="2"/>
      <c r="U52" s="2">
        <f t="shared" ref="U52:V64" si="94">D52-($O52/5)</f>
        <v>36671.852649696644</v>
      </c>
      <c r="V52" s="2">
        <f t="shared" si="94"/>
        <v>16540.131276296153</v>
      </c>
      <c r="W52" s="2"/>
      <c r="X52" s="2">
        <f t="shared" ref="X52:Y64" si="95">G52-($O52/5)</f>
        <v>37219.840982419351</v>
      </c>
      <c r="Y52" s="2">
        <f t="shared" si="95"/>
        <v>49926.821656268054</v>
      </c>
      <c r="Z52" s="2">
        <f t="shared" si="23"/>
        <v>173969.44975335689</v>
      </c>
      <c r="AA52" s="2">
        <f t="shared" si="24"/>
        <v>6899.8361183848756</v>
      </c>
      <c r="AB52" s="6">
        <f t="shared" si="25"/>
        <v>4.1299168461957587E-2</v>
      </c>
      <c r="AC52" s="7">
        <f t="shared" si="26"/>
        <v>1.0412991684619577</v>
      </c>
      <c r="AD52" s="2">
        <f t="shared" si="27"/>
        <v>0</v>
      </c>
      <c r="AE52" s="2"/>
      <c r="AG52">
        <f t="shared" si="28"/>
        <v>2005</v>
      </c>
      <c r="AH52" s="6">
        <f t="shared" si="5"/>
        <v>0.19319945678007258</v>
      </c>
      <c r="AI52" s="7"/>
      <c r="AJ52" s="6">
        <f t="shared" si="68"/>
        <v>0.21079478438132515</v>
      </c>
      <c r="AK52" s="6">
        <f t="shared" si="69"/>
        <v>9.5074918612122569E-2</v>
      </c>
      <c r="AL52" s="7"/>
      <c r="AM52" s="6">
        <f t="shared" si="29"/>
        <v>0.21394469566459706</v>
      </c>
      <c r="AN52" s="6">
        <f t="shared" si="30"/>
        <v>0.28698614456188259</v>
      </c>
      <c r="AO52" s="6">
        <f t="shared" si="31"/>
        <v>1</v>
      </c>
      <c r="AP52" s="7">
        <f t="shared" si="32"/>
        <v>0.71301385543811735</v>
      </c>
      <c r="AQ52" s="7">
        <f t="shared" si="33"/>
        <v>0</v>
      </c>
      <c r="AR52" s="24"/>
      <c r="AS52">
        <f t="shared" si="34"/>
        <v>2005</v>
      </c>
      <c r="AT52" s="1" t="b">
        <f t="shared" si="35"/>
        <v>1</v>
      </c>
      <c r="AV52" s="1" t="b">
        <f t="shared" ref="AV52:AV64" si="96">AND((U52/$Z52)&gt;0.15,(U52/$Z52)&lt;0.25)</f>
        <v>1</v>
      </c>
      <c r="AW52" s="1" t="b">
        <f t="shared" ref="AW52:AW64" si="97">AND((V52/$Z52)&gt;0.05,(V52/$Z52)&lt;0.15)</f>
        <v>1</v>
      </c>
      <c r="AY52" s="1" t="b">
        <f t="shared" si="46"/>
        <v>1</v>
      </c>
      <c r="AZ52" s="1" t="b">
        <f t="shared" si="37"/>
        <v>1</v>
      </c>
      <c r="BA52" s="1" t="b">
        <f t="shared" si="38"/>
        <v>1</v>
      </c>
      <c r="BC52">
        <f t="shared" si="39"/>
        <v>2005</v>
      </c>
      <c r="BD52" s="2">
        <f t="shared" ref="BD52" si="98">S52</f>
        <v>33610.803188676684</v>
      </c>
      <c r="BE52" s="2"/>
      <c r="BF52" s="2">
        <f t="shared" ref="BF52" si="99">U52</f>
        <v>36671.852649696644</v>
      </c>
      <c r="BG52" s="2">
        <f t="shared" ref="BG52" si="100">V52</f>
        <v>16540.131276296153</v>
      </c>
      <c r="BH52" s="2"/>
      <c r="BI52" s="2">
        <f t="shared" ref="BI52:BJ53" si="101">X52</f>
        <v>37219.840982419351</v>
      </c>
      <c r="BJ52" s="2">
        <f t="shared" si="101"/>
        <v>49926.821656268054</v>
      </c>
      <c r="BK52" s="2">
        <f t="shared" si="41"/>
        <v>173969.44975335689</v>
      </c>
      <c r="BL52" s="2">
        <f t="shared" si="42"/>
        <v>0</v>
      </c>
      <c r="BM52" s="2"/>
    </row>
    <row r="53" spans="1:65" x14ac:dyDescent="0.25">
      <c r="A53">
        <f t="shared" si="6"/>
        <v>2006</v>
      </c>
      <c r="B53" s="2">
        <f t="shared" si="88"/>
        <v>38867.532807385724</v>
      </c>
      <c r="C53" s="2"/>
      <c r="D53" s="2">
        <f t="shared" si="91"/>
        <v>41658.124454475896</v>
      </c>
      <c r="E53" s="2">
        <f t="shared" si="92"/>
        <v>19129.654228913081</v>
      </c>
      <c r="F53" s="2"/>
      <c r="G53" s="2">
        <f t="shared" si="50"/>
        <v>47134.090024906393</v>
      </c>
      <c r="H53" s="2">
        <f t="shared" si="14"/>
        <v>52058.696940990696</v>
      </c>
      <c r="I53" s="2">
        <f t="shared" si="43"/>
        <v>198848.09845667178</v>
      </c>
      <c r="J53" s="2">
        <f t="shared" si="15"/>
        <v>17893.830441338156</v>
      </c>
      <c r="K53" s="6">
        <f t="shared" si="16"/>
        <v>9.8885926469675062E-2</v>
      </c>
      <c r="L53" s="7">
        <f t="shared" si="17"/>
        <v>1.0988859264696751</v>
      </c>
      <c r="N53">
        <f t="shared" si="18"/>
        <v>2006</v>
      </c>
      <c r="O53" s="2">
        <f t="shared" si="19"/>
        <v>7215.3172646219809</v>
      </c>
      <c r="P53" s="2"/>
      <c r="Q53" s="2"/>
      <c r="R53">
        <f t="shared" si="20"/>
        <v>2006</v>
      </c>
      <c r="S53" s="2">
        <f t="shared" si="93"/>
        <v>37424.469354461326</v>
      </c>
      <c r="T53" s="2"/>
      <c r="U53" s="2">
        <f t="shared" si="94"/>
        <v>40215.061001551498</v>
      </c>
      <c r="V53" s="2">
        <f t="shared" si="94"/>
        <v>17686.590775988683</v>
      </c>
      <c r="W53" s="2"/>
      <c r="X53" s="2">
        <f t="shared" si="95"/>
        <v>45691.026571981994</v>
      </c>
      <c r="Y53" s="2">
        <f t="shared" si="95"/>
        <v>50615.633488066298</v>
      </c>
      <c r="Z53" s="2">
        <f t="shared" si="23"/>
        <v>191632.78119204979</v>
      </c>
      <c r="AA53" s="2">
        <f t="shared" si="24"/>
        <v>17663.331438692898</v>
      </c>
      <c r="AB53" s="6">
        <f t="shared" si="25"/>
        <v>0.10153122553261434</v>
      </c>
      <c r="AC53" s="7">
        <f t="shared" si="26"/>
        <v>1.1015312255326144</v>
      </c>
      <c r="AD53" s="2">
        <f t="shared" si="27"/>
        <v>0</v>
      </c>
      <c r="AE53" s="2"/>
      <c r="AG53">
        <f t="shared" si="28"/>
        <v>2006</v>
      </c>
      <c r="AH53" s="6">
        <f t="shared" si="5"/>
        <v>0.19529262750173948</v>
      </c>
      <c r="AI53" s="7"/>
      <c r="AJ53" s="6">
        <f t="shared" ref="AJ53:AK64" si="102">U53/$Z53</f>
        <v>0.20985481059865704</v>
      </c>
      <c r="AK53" s="6">
        <f t="shared" si="102"/>
        <v>9.2294181955558038E-2</v>
      </c>
      <c r="AL53" s="7"/>
      <c r="AM53" s="6">
        <f t="shared" si="29"/>
        <v>0.23843011768530115</v>
      </c>
      <c r="AN53" s="59">
        <f t="shared" si="30"/>
        <v>0.26412826225874436</v>
      </c>
      <c r="AO53" s="6">
        <f t="shared" si="31"/>
        <v>1.0000000000000002</v>
      </c>
      <c r="AP53" s="7">
        <f t="shared" si="32"/>
        <v>0.7358717377412558</v>
      </c>
      <c r="AQ53" s="7">
        <f t="shared" si="33"/>
        <v>0</v>
      </c>
      <c r="AR53" s="24"/>
      <c r="AS53">
        <f t="shared" si="34"/>
        <v>2006</v>
      </c>
      <c r="AT53" s="1" t="b">
        <f t="shared" si="35"/>
        <v>1</v>
      </c>
      <c r="AV53" s="1" t="b">
        <f t="shared" si="96"/>
        <v>1</v>
      </c>
      <c r="AW53" s="1" t="b">
        <f t="shared" si="97"/>
        <v>1</v>
      </c>
      <c r="AY53" s="1" t="b">
        <f t="shared" si="46"/>
        <v>1</v>
      </c>
      <c r="AZ53" s="1" t="b">
        <f t="shared" si="37"/>
        <v>1</v>
      </c>
      <c r="BA53" s="1" t="b">
        <f t="shared" si="38"/>
        <v>1</v>
      </c>
      <c r="BC53">
        <f t="shared" si="39"/>
        <v>2006</v>
      </c>
      <c r="BD53" s="2">
        <f t="shared" ref="BD53" si="103">S53</f>
        <v>37424.469354461326</v>
      </c>
      <c r="BE53" s="2"/>
      <c r="BF53" s="2">
        <f t="shared" ref="BF53" si="104">U53</f>
        <v>40215.061001551498</v>
      </c>
      <c r="BG53" s="2">
        <f t="shared" ref="BG53" si="105">V53</f>
        <v>17686.590775988683</v>
      </c>
      <c r="BH53" s="2"/>
      <c r="BI53" s="2">
        <f t="shared" si="101"/>
        <v>45691.026571981994</v>
      </c>
      <c r="BJ53" s="2">
        <f t="shared" si="101"/>
        <v>50615.633488066298</v>
      </c>
      <c r="BK53" s="2">
        <f t="shared" si="41"/>
        <v>191632.78119204979</v>
      </c>
      <c r="BL53" s="2">
        <f t="shared" si="42"/>
        <v>0</v>
      </c>
      <c r="BM53" s="2"/>
    </row>
    <row r="54" spans="1:65" x14ac:dyDescent="0.25">
      <c r="A54">
        <f t="shared" si="6"/>
        <v>2007</v>
      </c>
      <c r="B54" s="2">
        <f t="shared" si="88"/>
        <v>39441.64825266679</v>
      </c>
      <c r="C54" s="2"/>
      <c r="D54" s="2">
        <f t="shared" si="91"/>
        <v>42636.409824454917</v>
      </c>
      <c r="E54" s="2">
        <f t="shared" si="92"/>
        <v>17891.047765359112</v>
      </c>
      <c r="F54" s="2"/>
      <c r="G54" s="2">
        <f t="shared" si="50"/>
        <v>52783.187716485038</v>
      </c>
      <c r="H54" s="2">
        <f t="shared" si="14"/>
        <v>54118.235325440481</v>
      </c>
      <c r="I54" s="2">
        <f t="shared" si="43"/>
        <v>206870.52888440632</v>
      </c>
      <c r="J54" s="2">
        <f t="shared" si="15"/>
        <v>8022.4304277345364</v>
      </c>
      <c r="K54" s="6">
        <f t="shared" si="16"/>
        <v>4.0344516693895327E-2</v>
      </c>
      <c r="L54" s="7">
        <f t="shared" si="17"/>
        <v>1.0403445166938954</v>
      </c>
      <c r="N54">
        <f t="shared" si="18"/>
        <v>2007</v>
      </c>
      <c r="O54" s="2">
        <f t="shared" si="19"/>
        <v>7395.7001962375298</v>
      </c>
      <c r="P54" s="2"/>
      <c r="Q54" s="2"/>
      <c r="R54">
        <f t="shared" si="20"/>
        <v>2007</v>
      </c>
      <c r="S54" s="2">
        <f t="shared" si="93"/>
        <v>37962.508213419285</v>
      </c>
      <c r="T54" s="2"/>
      <c r="U54" s="2">
        <f t="shared" si="94"/>
        <v>41157.269785207412</v>
      </c>
      <c r="V54" s="2">
        <f t="shared" si="94"/>
        <v>16411.907726111607</v>
      </c>
      <c r="W54" s="2"/>
      <c r="X54" s="2">
        <f t="shared" si="95"/>
        <v>51304.047677237533</v>
      </c>
      <c r="Y54" s="2">
        <f t="shared" si="95"/>
        <v>52639.095286192976</v>
      </c>
      <c r="Z54" s="2">
        <f t="shared" si="23"/>
        <v>199474.82868816881</v>
      </c>
      <c r="AA54" s="2">
        <f t="shared" si="24"/>
        <v>7842.0474961190193</v>
      </c>
      <c r="AB54" s="6">
        <f t="shared" si="25"/>
        <v>4.0922265216512758E-2</v>
      </c>
      <c r="AC54" s="7">
        <f t="shared" si="26"/>
        <v>1.0409222652165127</v>
      </c>
      <c r="AD54" s="2">
        <f t="shared" si="27"/>
        <v>0</v>
      </c>
      <c r="AE54" s="2"/>
      <c r="AG54">
        <f t="shared" si="28"/>
        <v>2007</v>
      </c>
      <c r="AH54" s="6">
        <f t="shared" si="5"/>
        <v>0.19031227379954083</v>
      </c>
      <c r="AI54" s="7"/>
      <c r="AJ54" s="6">
        <f t="shared" si="102"/>
        <v>0.2063281370179641</v>
      </c>
      <c r="AK54" s="6">
        <f t="shared" si="102"/>
        <v>8.2275582508546483E-2</v>
      </c>
      <c r="AL54" s="7"/>
      <c r="AM54" s="38">
        <f t="shared" si="29"/>
        <v>0.25719559713190249</v>
      </c>
      <c r="AN54" s="38">
        <f t="shared" si="30"/>
        <v>0.26388840954204612</v>
      </c>
      <c r="AO54" s="6">
        <f t="shared" si="31"/>
        <v>1</v>
      </c>
      <c r="AP54" s="7">
        <f t="shared" si="32"/>
        <v>0.73611159045795382</v>
      </c>
      <c r="AQ54" s="7">
        <f t="shared" si="33"/>
        <v>0</v>
      </c>
      <c r="AR54" s="24"/>
      <c r="AS54">
        <f t="shared" si="34"/>
        <v>2007</v>
      </c>
      <c r="AT54" s="1" t="b">
        <f t="shared" si="35"/>
        <v>1</v>
      </c>
      <c r="AV54" s="1" t="b">
        <f t="shared" si="96"/>
        <v>1</v>
      </c>
      <c r="AW54" s="1" t="b">
        <f t="shared" si="97"/>
        <v>1</v>
      </c>
      <c r="AY54" s="39" t="b">
        <f t="shared" si="46"/>
        <v>0</v>
      </c>
      <c r="AZ54" s="1" t="b">
        <f t="shared" si="37"/>
        <v>1</v>
      </c>
      <c r="BA54" s="1" t="b">
        <f t="shared" si="38"/>
        <v>1</v>
      </c>
      <c r="BC54">
        <f t="shared" si="39"/>
        <v>2007</v>
      </c>
      <c r="BD54" s="27">
        <f>$BK54*BD$39</f>
        <v>39894.965737633764</v>
      </c>
      <c r="BE54" s="2"/>
      <c r="BF54" s="27">
        <f t="shared" ref="BF54:BG61" si="106">$BK54*BF$39</f>
        <v>39894.965737633764</v>
      </c>
      <c r="BG54" s="27">
        <f t="shared" si="106"/>
        <v>19947.482868816882</v>
      </c>
      <c r="BH54" s="2"/>
      <c r="BI54" s="27">
        <f>$BK54*BI$39</f>
        <v>39894.965737633764</v>
      </c>
      <c r="BJ54" s="27">
        <f t="shared" ref="BJ54:BJ61" si="107">$BK54*BJ$39</f>
        <v>59842.448606450642</v>
      </c>
      <c r="BK54" s="2">
        <f t="shared" si="41"/>
        <v>199474.82868816881</v>
      </c>
      <c r="BL54" s="2">
        <f t="shared" si="42"/>
        <v>0</v>
      </c>
      <c r="BM54" s="2"/>
    </row>
    <row r="55" spans="1:65" x14ac:dyDescent="0.25">
      <c r="A55">
        <f t="shared" si="6"/>
        <v>2008</v>
      </c>
      <c r="B55" s="2">
        <f t="shared" si="88"/>
        <v>25125.849421561739</v>
      </c>
      <c r="C55" s="2"/>
      <c r="D55" s="2">
        <f t="shared" si="91"/>
        <v>23209.29526752582</v>
      </c>
      <c r="E55" s="2">
        <f t="shared" si="92"/>
        <v>12752.425798034632</v>
      </c>
      <c r="F55" s="2"/>
      <c r="G55" s="2">
        <f t="shared" si="50"/>
        <v>22300.886897679899</v>
      </c>
      <c r="H55" s="2">
        <f t="shared" si="14"/>
        <v>62864.492261076397</v>
      </c>
      <c r="I55" s="2">
        <f t="shared" si="43"/>
        <v>146252.94964587849</v>
      </c>
      <c r="J55" s="2">
        <f t="shared" si="15"/>
        <v>-60617.579238527833</v>
      </c>
      <c r="K55" s="6">
        <f t="shared" si="16"/>
        <v>-0.29302182174242569</v>
      </c>
      <c r="L55" s="7">
        <f t="shared" si="17"/>
        <v>0.70697817825757436</v>
      </c>
      <c r="N55">
        <f t="shared" si="18"/>
        <v>2008</v>
      </c>
      <c r="O55" s="2">
        <f t="shared" si="19"/>
        <v>7698.9239042832678</v>
      </c>
      <c r="P55" s="2"/>
      <c r="Q55" s="2"/>
      <c r="R55">
        <f t="shared" si="20"/>
        <v>2008</v>
      </c>
      <c r="S55" s="2">
        <f t="shared" si="93"/>
        <v>23586.064640705084</v>
      </c>
      <c r="T55" s="2"/>
      <c r="U55" s="2">
        <f t="shared" si="94"/>
        <v>21669.510486669165</v>
      </c>
      <c r="V55" s="2">
        <f t="shared" si="94"/>
        <v>11212.641017177979</v>
      </c>
      <c r="W55" s="2"/>
      <c r="X55" s="2">
        <f t="shared" si="95"/>
        <v>20761.102116823244</v>
      </c>
      <c r="Y55" s="2">
        <f t="shared" si="95"/>
        <v>61324.707480219746</v>
      </c>
      <c r="Z55" s="2">
        <f t="shared" si="23"/>
        <v>138554.02574159522</v>
      </c>
      <c r="AA55" s="2">
        <f t="shared" si="24"/>
        <v>-60920.802946573589</v>
      </c>
      <c r="AB55" s="6">
        <f t="shared" si="25"/>
        <v>-0.30540596699450584</v>
      </c>
      <c r="AC55" s="7">
        <f t="shared" si="26"/>
        <v>0.69459403300549416</v>
      </c>
      <c r="AD55" s="2">
        <f t="shared" si="27"/>
        <v>0</v>
      </c>
      <c r="AE55" s="2"/>
      <c r="AG55">
        <f t="shared" si="28"/>
        <v>2008</v>
      </c>
      <c r="AH55" s="6">
        <f t="shared" ref="AH55:AH64" si="108">S55/$Z55</f>
        <v>0.17023009266214575</v>
      </c>
      <c r="AI55" s="7"/>
      <c r="AJ55" s="6">
        <f t="shared" si="102"/>
        <v>0.15639755229547095</v>
      </c>
      <c r="AK55" s="6">
        <f t="shared" si="102"/>
        <v>8.0926129408103065E-2</v>
      </c>
      <c r="AL55" s="7"/>
      <c r="AM55" s="6">
        <f t="shared" si="29"/>
        <v>0.14984120458212399</v>
      </c>
      <c r="AN55" s="38">
        <f t="shared" si="30"/>
        <v>0.44260502105215621</v>
      </c>
      <c r="AO55" s="6">
        <f t="shared" si="31"/>
        <v>1</v>
      </c>
      <c r="AP55" s="7">
        <f t="shared" si="32"/>
        <v>0.55739497894784373</v>
      </c>
      <c r="AQ55" s="7">
        <f t="shared" si="33"/>
        <v>0</v>
      </c>
      <c r="AR55" s="24"/>
      <c r="AS55">
        <f t="shared" si="34"/>
        <v>2008</v>
      </c>
      <c r="AT55" s="1" t="b">
        <f t="shared" si="35"/>
        <v>1</v>
      </c>
      <c r="AV55" s="1" t="b">
        <f t="shared" si="96"/>
        <v>1</v>
      </c>
      <c r="AW55" s="1" t="b">
        <f t="shared" si="97"/>
        <v>1</v>
      </c>
      <c r="AY55" s="1" t="b">
        <f t="shared" si="46"/>
        <v>0</v>
      </c>
      <c r="AZ55" s="39" t="b">
        <f t="shared" si="37"/>
        <v>0</v>
      </c>
      <c r="BA55" s="1" t="b">
        <f t="shared" si="38"/>
        <v>1</v>
      </c>
      <c r="BC55">
        <f t="shared" si="39"/>
        <v>2008</v>
      </c>
      <c r="BD55" s="27">
        <f>$BK55*BD$39</f>
        <v>27710.805148319047</v>
      </c>
      <c r="BE55" s="2"/>
      <c r="BF55" s="27">
        <f t="shared" si="106"/>
        <v>27710.805148319047</v>
      </c>
      <c r="BG55" s="27">
        <f t="shared" si="106"/>
        <v>13855.402574159523</v>
      </c>
      <c r="BH55" s="2"/>
      <c r="BI55" s="27">
        <f>$BK55*BI$39</f>
        <v>27710.805148319047</v>
      </c>
      <c r="BJ55" s="27">
        <f t="shared" si="107"/>
        <v>41566.207722478568</v>
      </c>
      <c r="BK55" s="2">
        <f t="shared" si="41"/>
        <v>138554.02574159522</v>
      </c>
      <c r="BL55" s="2">
        <f t="shared" si="42"/>
        <v>0</v>
      </c>
      <c r="BM55" s="2"/>
    </row>
    <row r="56" spans="1:65" x14ac:dyDescent="0.25">
      <c r="A56">
        <f t="shared" si="6"/>
        <v>2009</v>
      </c>
      <c r="B56" s="2">
        <f t="shared" si="88"/>
        <v>35051.397432108759</v>
      </c>
      <c r="C56" s="2"/>
      <c r="D56" s="2">
        <f t="shared" si="91"/>
        <v>38855.536762869997</v>
      </c>
      <c r="E56" s="2">
        <f t="shared" si="92"/>
        <v>18859.69687589446</v>
      </c>
      <c r="F56" s="2"/>
      <c r="G56" s="2">
        <f t="shared" si="50"/>
        <v>37888.15255514218</v>
      </c>
      <c r="H56" s="2">
        <f t="shared" si="14"/>
        <v>44031.083840421546</v>
      </c>
      <c r="I56" s="2">
        <f t="shared" si="43"/>
        <v>174685.86746643693</v>
      </c>
      <c r="J56" s="2">
        <f>I56-I55</f>
        <v>28432.917820558447</v>
      </c>
      <c r="K56" s="6">
        <f>(J56/I55)</f>
        <v>0.19440919235750748</v>
      </c>
      <c r="L56" s="7">
        <f t="shared" si="17"/>
        <v>1.1944091923575075</v>
      </c>
      <c r="N56">
        <f t="shared" si="18"/>
        <v>2009</v>
      </c>
      <c r="O56" s="2">
        <f t="shared" si="19"/>
        <v>7698.9239042832678</v>
      </c>
      <c r="P56" s="2"/>
      <c r="Q56" s="2"/>
      <c r="R56">
        <f t="shared" si="20"/>
        <v>2009</v>
      </c>
      <c r="S56" s="2">
        <f t="shared" si="93"/>
        <v>33511.612651252108</v>
      </c>
      <c r="T56" s="2"/>
      <c r="U56" s="2">
        <f t="shared" si="94"/>
        <v>37315.751982013346</v>
      </c>
      <c r="V56" s="2">
        <f t="shared" si="94"/>
        <v>17319.912095037806</v>
      </c>
      <c r="W56" s="2"/>
      <c r="X56" s="2">
        <f t="shared" si="95"/>
        <v>36348.367774285529</v>
      </c>
      <c r="Y56" s="2">
        <f t="shared" si="95"/>
        <v>42491.299059564895</v>
      </c>
      <c r="Z56" s="2">
        <f t="shared" si="23"/>
        <v>166986.94356215367</v>
      </c>
      <c r="AA56" s="2">
        <f>Z56-Z55</f>
        <v>28432.917820558447</v>
      </c>
      <c r="AB56" s="6">
        <f>(AA56/Z55)</f>
        <v>0.20521177691066264</v>
      </c>
      <c r="AC56" s="7">
        <f t="shared" si="26"/>
        <v>1.2052117769106627</v>
      </c>
      <c r="AD56" s="2">
        <f t="shared" si="27"/>
        <v>0</v>
      </c>
      <c r="AE56" s="2"/>
      <c r="AG56">
        <f t="shared" si="28"/>
        <v>2009</v>
      </c>
      <c r="AH56" s="6">
        <f t="shared" si="108"/>
        <v>0.20068402916051253</v>
      </c>
      <c r="AI56" s="7"/>
      <c r="AJ56" s="6">
        <f t="shared" si="102"/>
        <v>0.22346508766491777</v>
      </c>
      <c r="AK56" s="6">
        <f t="shared" si="102"/>
        <v>0.10372015754986987</v>
      </c>
      <c r="AL56" s="7"/>
      <c r="AM56" s="6">
        <f t="shared" si="29"/>
        <v>0.21767191493481297</v>
      </c>
      <c r="AN56" s="6">
        <f t="shared" si="30"/>
        <v>0.25445881068988696</v>
      </c>
      <c r="AO56" s="6">
        <f t="shared" si="31"/>
        <v>1</v>
      </c>
      <c r="AP56" s="7">
        <f t="shared" si="32"/>
        <v>0.74554118931011315</v>
      </c>
      <c r="AQ56" s="7">
        <f t="shared" si="33"/>
        <v>0</v>
      </c>
      <c r="AR56" s="24"/>
      <c r="AS56">
        <f t="shared" si="34"/>
        <v>2009</v>
      </c>
      <c r="AT56" s="1" t="b">
        <f t="shared" si="35"/>
        <v>1</v>
      </c>
      <c r="AV56" s="1" t="b">
        <f t="shared" si="96"/>
        <v>1</v>
      </c>
      <c r="AW56" s="1" t="b">
        <f t="shared" si="97"/>
        <v>1</v>
      </c>
      <c r="AY56" s="1" t="b">
        <f t="shared" si="46"/>
        <v>1</v>
      </c>
      <c r="AZ56" s="1" t="b">
        <f t="shared" si="37"/>
        <v>1</v>
      </c>
      <c r="BA56" s="1" t="b">
        <f t="shared" si="38"/>
        <v>1</v>
      </c>
      <c r="BC56">
        <f t="shared" si="39"/>
        <v>2009</v>
      </c>
      <c r="BD56" s="2">
        <f t="shared" ref="BD56" si="109">S56</f>
        <v>33511.612651252108</v>
      </c>
      <c r="BE56" s="2"/>
      <c r="BF56" s="2">
        <f t="shared" ref="BF56" si="110">U56</f>
        <v>37315.751982013346</v>
      </c>
      <c r="BG56" s="2">
        <f t="shared" ref="BG56" si="111">V56</f>
        <v>17319.912095037806</v>
      </c>
      <c r="BH56" s="2"/>
      <c r="BI56" s="2">
        <f>X56</f>
        <v>36348.367774285529</v>
      </c>
      <c r="BJ56" s="2">
        <f>Y56</f>
        <v>42491.299059564895</v>
      </c>
      <c r="BK56" s="2">
        <f t="shared" si="41"/>
        <v>166986.94356215367</v>
      </c>
      <c r="BL56" s="2">
        <f t="shared" si="42"/>
        <v>0</v>
      </c>
      <c r="BM56" s="2"/>
    </row>
    <row r="57" spans="1:65" x14ac:dyDescent="0.25">
      <c r="A57">
        <f t="shared" si="6"/>
        <v>2010</v>
      </c>
      <c r="B57" s="2">
        <f t="shared" si="88"/>
        <v>38508.194097553795</v>
      </c>
      <c r="C57" s="2"/>
      <c r="D57" s="2">
        <f t="shared" si="91"/>
        <v>46816.342436633939</v>
      </c>
      <c r="E57" s="2">
        <f t="shared" si="92"/>
        <v>22120.991727782286</v>
      </c>
      <c r="F57" s="2"/>
      <c r="G57" s="2">
        <f t="shared" si="50"/>
        <v>40390.306270786081</v>
      </c>
      <c r="H57" s="2">
        <f t="shared" si="14"/>
        <v>45219.240459188964</v>
      </c>
      <c r="I57" s="2">
        <f t="shared" si="43"/>
        <v>193055.07499194506</v>
      </c>
      <c r="J57" s="2">
        <f t="shared" si="15"/>
        <v>18369.207525508129</v>
      </c>
      <c r="K57" s="6">
        <f t="shared" si="16"/>
        <v>0.10515565908064931</v>
      </c>
      <c r="L57" s="7">
        <f t="shared" si="17"/>
        <v>1.1051556590806493</v>
      </c>
      <c r="N57">
        <f t="shared" si="18"/>
        <v>2010</v>
      </c>
      <c r="O57" s="2">
        <f t="shared" si="19"/>
        <v>7914.4937736031998</v>
      </c>
      <c r="P57" s="2"/>
      <c r="Q57" s="2"/>
      <c r="R57">
        <f t="shared" si="20"/>
        <v>2010</v>
      </c>
      <c r="S57" s="2">
        <f t="shared" si="93"/>
        <v>36925.295342833153</v>
      </c>
      <c r="T57" s="2"/>
      <c r="U57" s="2">
        <f t="shared" si="94"/>
        <v>45233.443681913297</v>
      </c>
      <c r="V57" s="2">
        <f t="shared" si="94"/>
        <v>20538.092973061644</v>
      </c>
      <c r="W57" s="2"/>
      <c r="X57" s="2">
        <f t="shared" si="95"/>
        <v>38807.407516065439</v>
      </c>
      <c r="Y57" s="2">
        <f t="shared" si="95"/>
        <v>43636.341704468323</v>
      </c>
      <c r="Z57" s="2">
        <f t="shared" si="23"/>
        <v>185140.58121834186</v>
      </c>
      <c r="AA57" s="2">
        <f t="shared" ref="AA57:AA64" si="112">Z57-Z56</f>
        <v>18153.637656188192</v>
      </c>
      <c r="AB57" s="6">
        <f t="shared" ref="AB57:AB64" si="113">(AA57/Z56)</f>
        <v>0.10871291652470592</v>
      </c>
      <c r="AC57" s="7">
        <f t="shared" si="26"/>
        <v>1.1087129165247058</v>
      </c>
      <c r="AD57" s="2">
        <f t="shared" si="27"/>
        <v>0</v>
      </c>
      <c r="AE57" s="2"/>
      <c r="AG57">
        <f t="shared" si="28"/>
        <v>2010</v>
      </c>
      <c r="AH57" s="6">
        <f t="shared" si="108"/>
        <v>0.19944463336909396</v>
      </c>
      <c r="AI57" s="7"/>
      <c r="AJ57" s="6">
        <f t="shared" si="102"/>
        <v>0.24431944301054201</v>
      </c>
      <c r="AK57" s="6">
        <f t="shared" si="102"/>
        <v>0.11093242139517999</v>
      </c>
      <c r="AL57" s="7"/>
      <c r="AM57" s="6">
        <f t="shared" ref="AM57:AM64" si="114">X57/$Z57</f>
        <v>0.20961048766665963</v>
      </c>
      <c r="AN57" s="6">
        <f t="shared" si="30"/>
        <v>0.23569301455852443</v>
      </c>
      <c r="AO57" s="6">
        <f t="shared" si="31"/>
        <v>1</v>
      </c>
      <c r="AP57" s="7">
        <f t="shared" si="32"/>
        <v>0.76430698544147568</v>
      </c>
      <c r="AQ57" s="7">
        <f t="shared" si="33"/>
        <v>0</v>
      </c>
      <c r="AR57" s="24"/>
      <c r="AS57">
        <f t="shared" si="34"/>
        <v>2010</v>
      </c>
      <c r="AT57" s="1" t="b">
        <f t="shared" si="35"/>
        <v>1</v>
      </c>
      <c r="AV57" s="1" t="b">
        <f t="shared" si="96"/>
        <v>1</v>
      </c>
      <c r="AW57" s="1" t="b">
        <f t="shared" si="97"/>
        <v>1</v>
      </c>
      <c r="AY57" s="1" t="b">
        <f t="shared" si="46"/>
        <v>1</v>
      </c>
      <c r="AZ57" s="39" t="b">
        <f t="shared" si="37"/>
        <v>0</v>
      </c>
      <c r="BA57" s="1" t="b">
        <f t="shared" si="38"/>
        <v>1</v>
      </c>
      <c r="BC57">
        <f t="shared" si="39"/>
        <v>2010</v>
      </c>
      <c r="BD57" s="27">
        <f>$BK57*BD$39</f>
        <v>37028.116243668373</v>
      </c>
      <c r="BE57" s="2"/>
      <c r="BF57" s="27">
        <f t="shared" si="106"/>
        <v>37028.116243668373</v>
      </c>
      <c r="BG57" s="27">
        <f t="shared" si="106"/>
        <v>18514.058121834187</v>
      </c>
      <c r="BH57" s="2"/>
      <c r="BI57" s="27">
        <f>$BK57*BI$39</f>
        <v>37028.116243668373</v>
      </c>
      <c r="BJ57" s="27">
        <f t="shared" si="107"/>
        <v>55542.174365502557</v>
      </c>
      <c r="BK57" s="2">
        <f t="shared" si="41"/>
        <v>185140.58121834186</v>
      </c>
      <c r="BL57" s="2">
        <f t="shared" si="42"/>
        <v>0</v>
      </c>
      <c r="BM57" s="2"/>
    </row>
    <row r="58" spans="1:65" x14ac:dyDescent="0.25">
      <c r="A58">
        <f t="shared" si="6"/>
        <v>2011</v>
      </c>
      <c r="B58" s="2">
        <f t="shared" si="88"/>
        <v>37757.57013366864</v>
      </c>
      <c r="C58" s="2"/>
      <c r="D58" s="2">
        <f t="shared" si="91"/>
        <v>36246.822990926972</v>
      </c>
      <c r="E58" s="2">
        <f t="shared" si="92"/>
        <v>17995.664494422828</v>
      </c>
      <c r="F58" s="2"/>
      <c r="G58" s="2">
        <f t="shared" si="50"/>
        <v>31636.822518590259</v>
      </c>
      <c r="H58" s="2">
        <f t="shared" si="14"/>
        <v>59741.162747534559</v>
      </c>
      <c r="I58" s="2">
        <f t="shared" si="43"/>
        <v>183378.04288514325</v>
      </c>
      <c r="J58" s="2">
        <f t="shared" si="15"/>
        <v>-9677.0321068018093</v>
      </c>
      <c r="K58" s="6">
        <f t="shared" si="16"/>
        <v>-5.0125758710075706E-2</v>
      </c>
      <c r="L58" s="7">
        <f t="shared" si="17"/>
        <v>0.94987424128992426</v>
      </c>
      <c r="N58">
        <f t="shared" si="18"/>
        <v>2011</v>
      </c>
      <c r="O58" s="2">
        <f t="shared" si="19"/>
        <v>8025.2966864336449</v>
      </c>
      <c r="P58" s="2"/>
      <c r="Q58" s="2"/>
      <c r="R58">
        <f t="shared" si="20"/>
        <v>2011</v>
      </c>
      <c r="S58" s="2">
        <f t="shared" si="93"/>
        <v>36152.51079638191</v>
      </c>
      <c r="T58" s="2"/>
      <c r="U58" s="2">
        <f t="shared" si="94"/>
        <v>34641.763653640242</v>
      </c>
      <c r="V58" s="2">
        <f t="shared" si="94"/>
        <v>16390.605157136099</v>
      </c>
      <c r="W58" s="2"/>
      <c r="X58" s="2">
        <f t="shared" si="95"/>
        <v>30031.76318130353</v>
      </c>
      <c r="Y58" s="2">
        <f t="shared" si="95"/>
        <v>58136.10341024783</v>
      </c>
      <c r="Z58" s="2">
        <f t="shared" si="23"/>
        <v>175352.74619870959</v>
      </c>
      <c r="AA58" s="2">
        <f t="shared" si="112"/>
        <v>-9787.8350196322717</v>
      </c>
      <c r="AB58" s="6">
        <f t="shared" si="113"/>
        <v>-5.2867042737049549E-2</v>
      </c>
      <c r="AC58" s="7">
        <f t="shared" si="26"/>
        <v>0.94713295726295044</v>
      </c>
      <c r="AD58" s="2">
        <f t="shared" si="27"/>
        <v>0</v>
      </c>
      <c r="AE58" s="2"/>
      <c r="AG58">
        <f t="shared" si="28"/>
        <v>2011</v>
      </c>
      <c r="AH58" s="6">
        <f t="shared" si="108"/>
        <v>0.2061702002397722</v>
      </c>
      <c r="AI58" s="7"/>
      <c r="AJ58" s="6">
        <f t="shared" si="102"/>
        <v>0.1975547255723285</v>
      </c>
      <c r="AK58" s="6">
        <f t="shared" si="102"/>
        <v>9.3472189700195954E-2</v>
      </c>
      <c r="AL58" s="7"/>
      <c r="AM58" s="38">
        <f t="shared" si="114"/>
        <v>0.17126485802093774</v>
      </c>
      <c r="AN58" s="38">
        <f t="shared" si="30"/>
        <v>0.33153802646676572</v>
      </c>
      <c r="AO58" s="6">
        <f t="shared" si="31"/>
        <v>1.0000000000000002</v>
      </c>
      <c r="AP58" s="7">
        <f t="shared" si="32"/>
        <v>0.66846197353323444</v>
      </c>
      <c r="AQ58" s="7">
        <f t="shared" si="33"/>
        <v>0</v>
      </c>
      <c r="AR58" s="24"/>
      <c r="AS58">
        <f t="shared" si="34"/>
        <v>2011</v>
      </c>
      <c r="AT58" s="1" t="b">
        <f t="shared" si="35"/>
        <v>1</v>
      </c>
      <c r="AV58" s="35" t="b">
        <f t="shared" si="96"/>
        <v>1</v>
      </c>
      <c r="AW58" s="1" t="b">
        <f t="shared" si="97"/>
        <v>1</v>
      </c>
      <c r="AY58" s="1" t="b">
        <f t="shared" ref="AY58" si="115">AND((X58/$Z58)&gt;0.15,(X58/$Z58)&lt;0.25)</f>
        <v>1</v>
      </c>
      <c r="AZ58" s="1" t="b">
        <f t="shared" ref="AZ58" si="116">AND((Y58/$Z58)&gt;0.25,(Y58/$Z58)&lt;0.35)</f>
        <v>1</v>
      </c>
      <c r="BA58" s="1" t="b">
        <f t="shared" si="38"/>
        <v>1</v>
      </c>
      <c r="BC58">
        <f t="shared" si="39"/>
        <v>2011</v>
      </c>
      <c r="BD58" s="2">
        <f t="shared" ref="BD58" si="117">S58</f>
        <v>36152.51079638191</v>
      </c>
      <c r="BE58" s="2"/>
      <c r="BF58" s="2">
        <f t="shared" ref="BF58" si="118">U58</f>
        <v>34641.763653640242</v>
      </c>
      <c r="BG58" s="2">
        <f t="shared" ref="BG58" si="119">V58</f>
        <v>16390.605157136099</v>
      </c>
      <c r="BH58" s="2"/>
      <c r="BI58" s="2">
        <f>X58</f>
        <v>30031.76318130353</v>
      </c>
      <c r="BJ58" s="2">
        <f t="shared" ref="BJ58" si="120">Y58</f>
        <v>58136.10341024783</v>
      </c>
      <c r="BK58" s="2">
        <f t="shared" si="41"/>
        <v>175352.74619870959</v>
      </c>
      <c r="BL58" s="2">
        <f t="shared" si="42"/>
        <v>0</v>
      </c>
      <c r="BM58" s="2"/>
    </row>
    <row r="59" spans="1:65" x14ac:dyDescent="0.25">
      <c r="A59">
        <f t="shared" si="6"/>
        <v>2012</v>
      </c>
      <c r="B59" s="2">
        <f t="shared" si="88"/>
        <v>41871.838004369522</v>
      </c>
      <c r="C59" s="2"/>
      <c r="D59" s="2">
        <f t="shared" si="91"/>
        <v>40115.162310915395</v>
      </c>
      <c r="E59" s="2">
        <f t="shared" si="92"/>
        <v>19347.470327483454</v>
      </c>
      <c r="F59" s="2"/>
      <c r="G59" s="2">
        <f t="shared" si="50"/>
        <v>35479.525022391987</v>
      </c>
      <c r="H59" s="2">
        <f t="shared" si="14"/>
        <v>60490.615598362863</v>
      </c>
      <c r="I59" s="2">
        <f t="shared" si="43"/>
        <v>197304.61126352323</v>
      </c>
      <c r="J59" s="2">
        <f t="shared" si="15"/>
        <v>13926.568378379976</v>
      </c>
      <c r="K59" s="6">
        <f t="shared" si="16"/>
        <v>7.5944579619615218E-2</v>
      </c>
      <c r="L59" s="7">
        <f t="shared" si="17"/>
        <v>1.0759445796196152</v>
      </c>
      <c r="N59">
        <f t="shared" si="18"/>
        <v>2012</v>
      </c>
      <c r="O59" s="2">
        <f t="shared" si="19"/>
        <v>8266.0555870266544</v>
      </c>
      <c r="P59" s="2"/>
      <c r="Q59" s="2"/>
      <c r="R59">
        <f t="shared" si="20"/>
        <v>2012</v>
      </c>
      <c r="S59" s="2">
        <f t="shared" si="93"/>
        <v>40218.626886964194</v>
      </c>
      <c r="T59" s="2"/>
      <c r="U59" s="2">
        <f t="shared" si="94"/>
        <v>38461.951193510067</v>
      </c>
      <c r="V59" s="2">
        <f t="shared" si="94"/>
        <v>17694.259210078122</v>
      </c>
      <c r="W59" s="2"/>
      <c r="X59" s="2">
        <f t="shared" si="95"/>
        <v>33826.313904986659</v>
      </c>
      <c r="Y59" s="2">
        <f t="shared" si="95"/>
        <v>58837.404480957535</v>
      </c>
      <c r="Z59" s="2">
        <f t="shared" si="23"/>
        <v>189038.55567649656</v>
      </c>
      <c r="AA59" s="2">
        <f t="shared" si="112"/>
        <v>13685.80947778697</v>
      </c>
      <c r="AB59" s="6">
        <f t="shared" si="113"/>
        <v>7.8047306212576911E-2</v>
      </c>
      <c r="AC59" s="7">
        <f t="shared" si="26"/>
        <v>1.0780473062125768</v>
      </c>
      <c r="AD59" s="2">
        <f t="shared" si="27"/>
        <v>0</v>
      </c>
      <c r="AE59" s="2"/>
      <c r="AG59">
        <f t="shared" si="28"/>
        <v>2012</v>
      </c>
      <c r="AH59" s="6">
        <f t="shared" si="108"/>
        <v>0.21275356629253295</v>
      </c>
      <c r="AI59" s="7"/>
      <c r="AJ59" s="6">
        <f t="shared" si="102"/>
        <v>0.20346088159565906</v>
      </c>
      <c r="AK59" s="6">
        <f t="shared" si="102"/>
        <v>9.3601324590939394E-2</v>
      </c>
      <c r="AL59" s="7"/>
      <c r="AM59" s="6">
        <f t="shared" si="114"/>
        <v>0.17893870265743009</v>
      </c>
      <c r="AN59" s="6">
        <f t="shared" si="30"/>
        <v>0.31124552486343859</v>
      </c>
      <c r="AO59" s="6">
        <f t="shared" si="31"/>
        <v>1</v>
      </c>
      <c r="AP59" s="7">
        <f t="shared" si="32"/>
        <v>0.68875447513656152</v>
      </c>
      <c r="AQ59" s="7">
        <f t="shared" si="33"/>
        <v>0</v>
      </c>
      <c r="AR59" s="24"/>
      <c r="AS59">
        <f t="shared" si="34"/>
        <v>2012</v>
      </c>
      <c r="AT59" s="1" t="b">
        <f t="shared" si="35"/>
        <v>1</v>
      </c>
      <c r="AV59" s="1" t="b">
        <f t="shared" si="96"/>
        <v>1</v>
      </c>
      <c r="AW59" s="1" t="b">
        <f t="shared" si="97"/>
        <v>1</v>
      </c>
      <c r="AY59" s="1" t="b">
        <f t="shared" si="46"/>
        <v>1</v>
      </c>
      <c r="AZ59" s="1" t="b">
        <f t="shared" si="37"/>
        <v>1</v>
      </c>
      <c r="BA59" s="1" t="b">
        <f t="shared" si="38"/>
        <v>1</v>
      </c>
      <c r="BC59">
        <f t="shared" si="39"/>
        <v>2012</v>
      </c>
      <c r="BD59" s="2">
        <f t="shared" ref="BD59:BD60" si="121">S59</f>
        <v>40218.626886964194</v>
      </c>
      <c r="BE59" s="2"/>
      <c r="BF59" s="2">
        <f t="shared" ref="BF59:BF60" si="122">U59</f>
        <v>38461.951193510067</v>
      </c>
      <c r="BG59" s="2">
        <f t="shared" ref="BG59:BG60" si="123">V59</f>
        <v>17694.259210078122</v>
      </c>
      <c r="BH59" s="2"/>
      <c r="BI59" s="2">
        <f>X59</f>
        <v>33826.313904986659</v>
      </c>
      <c r="BJ59" s="2">
        <f t="shared" ref="BJ59:BJ60" si="124">Y59</f>
        <v>58837.404480957535</v>
      </c>
      <c r="BK59" s="2">
        <f t="shared" si="41"/>
        <v>189038.55567649656</v>
      </c>
      <c r="BL59" s="2">
        <f t="shared" si="42"/>
        <v>0</v>
      </c>
      <c r="BM59" s="2"/>
    </row>
    <row r="60" spans="1:65" x14ac:dyDescent="0.25">
      <c r="A60">
        <f t="shared" si="6"/>
        <v>2013</v>
      </c>
      <c r="B60" s="2">
        <f t="shared" si="88"/>
        <v>53160.981019189276</v>
      </c>
      <c r="C60" s="2"/>
      <c r="D60" s="2">
        <f t="shared" si="91"/>
        <v>51923.634111238593</v>
      </c>
      <c r="E60" s="2">
        <f t="shared" si="92"/>
        <v>24350.839524909508</v>
      </c>
      <c r="F60" s="2"/>
      <c r="G60" s="2">
        <f t="shared" si="50"/>
        <v>38913.791516296646</v>
      </c>
      <c r="H60" s="2">
        <f t="shared" si="14"/>
        <v>57507.679139687898</v>
      </c>
      <c r="I60" s="2">
        <f t="shared" si="43"/>
        <v>225856.92531132192</v>
      </c>
      <c r="J60" s="2">
        <f t="shared" si="15"/>
        <v>28552.314047798689</v>
      </c>
      <c r="K60" s="6">
        <f t="shared" si="16"/>
        <v>0.14471184360543787</v>
      </c>
      <c r="L60" s="7">
        <f t="shared" si="17"/>
        <v>1.144711843605438</v>
      </c>
      <c r="N60">
        <f t="shared" si="18"/>
        <v>2013</v>
      </c>
      <c r="O60" s="2">
        <f t="shared" si="19"/>
        <v>8414.8445875931338</v>
      </c>
      <c r="P60" s="2"/>
      <c r="Q60" s="2"/>
      <c r="R60">
        <f t="shared" si="20"/>
        <v>2013</v>
      </c>
      <c r="S60" s="2">
        <f t="shared" si="93"/>
        <v>51478.012101670647</v>
      </c>
      <c r="T60" s="2"/>
      <c r="U60" s="2">
        <f t="shared" si="94"/>
        <v>50240.665193719964</v>
      </c>
      <c r="V60" s="2">
        <f t="shared" si="94"/>
        <v>22667.870607390883</v>
      </c>
      <c r="W60" s="2"/>
      <c r="X60" s="2">
        <f t="shared" si="95"/>
        <v>37230.822598778017</v>
      </c>
      <c r="Y60" s="2">
        <f t="shared" si="95"/>
        <v>55824.710222169269</v>
      </c>
      <c r="Z60" s="2">
        <f t="shared" si="23"/>
        <v>217442.08072372878</v>
      </c>
      <c r="AA60" s="2">
        <f t="shared" si="112"/>
        <v>28403.525047232222</v>
      </c>
      <c r="AB60" s="6">
        <f t="shared" si="113"/>
        <v>0.15025255004507884</v>
      </c>
      <c r="AC60" s="7">
        <f t="shared" si="26"/>
        <v>1.1502525500450789</v>
      </c>
      <c r="AD60" s="2">
        <f t="shared" si="27"/>
        <v>0</v>
      </c>
      <c r="AE60" s="2"/>
      <c r="AG60">
        <f t="shared" si="28"/>
        <v>2013</v>
      </c>
      <c r="AH60" s="6">
        <f t="shared" si="108"/>
        <v>0.23674355915990372</v>
      </c>
      <c r="AI60" s="7"/>
      <c r="AJ60" s="6">
        <f t="shared" si="102"/>
        <v>0.23105309251318876</v>
      </c>
      <c r="AK60" s="6">
        <f t="shared" si="102"/>
        <v>0.10424785548383142</v>
      </c>
      <c r="AL60" s="7"/>
      <c r="AM60" s="6">
        <f t="shared" si="114"/>
        <v>0.17122179145296934</v>
      </c>
      <c r="AN60" s="38">
        <f t="shared" si="30"/>
        <v>0.25673370139010676</v>
      </c>
      <c r="AO60" s="6">
        <f t="shared" si="31"/>
        <v>1</v>
      </c>
      <c r="AP60" s="7">
        <f t="shared" si="32"/>
        <v>0.74326629860989324</v>
      </c>
      <c r="AQ60" s="7">
        <f t="shared" si="33"/>
        <v>0</v>
      </c>
      <c r="AR60" s="24"/>
      <c r="AS60">
        <f t="shared" si="34"/>
        <v>2013</v>
      </c>
      <c r="AT60" s="1" t="b">
        <f t="shared" si="35"/>
        <v>1</v>
      </c>
      <c r="AV60" s="1" t="b">
        <f t="shared" si="96"/>
        <v>1</v>
      </c>
      <c r="AW60" s="1" t="b">
        <f t="shared" si="97"/>
        <v>1</v>
      </c>
      <c r="AY60" s="1" t="b">
        <f t="shared" si="46"/>
        <v>1</v>
      </c>
      <c r="AZ60" s="1" t="b">
        <f t="shared" si="37"/>
        <v>1</v>
      </c>
      <c r="BA60" s="1" t="b">
        <f t="shared" si="38"/>
        <v>1</v>
      </c>
      <c r="BC60">
        <f t="shared" si="39"/>
        <v>2013</v>
      </c>
      <c r="BD60" s="2">
        <f t="shared" si="121"/>
        <v>51478.012101670647</v>
      </c>
      <c r="BE60" s="2"/>
      <c r="BF60" s="2">
        <f t="shared" si="122"/>
        <v>50240.665193719964</v>
      </c>
      <c r="BG60" s="2">
        <f t="shared" si="123"/>
        <v>22667.870607390883</v>
      </c>
      <c r="BH60" s="2"/>
      <c r="BI60" s="2">
        <f>X60</f>
        <v>37230.822598778017</v>
      </c>
      <c r="BJ60" s="2">
        <f t="shared" si="124"/>
        <v>55824.710222169269</v>
      </c>
      <c r="BK60" s="2">
        <f t="shared" si="41"/>
        <v>217442.08072372878</v>
      </c>
      <c r="BL60" s="2">
        <f t="shared" si="42"/>
        <v>0</v>
      </c>
      <c r="BM60" s="2"/>
    </row>
    <row r="61" spans="1:65" x14ac:dyDescent="0.25">
      <c r="A61">
        <f t="shared" si="6"/>
        <v>2014</v>
      </c>
      <c r="B61" s="2">
        <f t="shared" si="88"/>
        <v>58432.691536606355</v>
      </c>
      <c r="C61" s="2"/>
      <c r="D61" s="2">
        <f t="shared" si="91"/>
        <v>57073.395660065886</v>
      </c>
      <c r="E61" s="2">
        <f t="shared" si="92"/>
        <v>24338.492671155593</v>
      </c>
      <c r="F61" s="2"/>
      <c r="G61" s="2">
        <f t="shared" si="50"/>
        <v>35652.23572058983</v>
      </c>
      <c r="H61" s="2">
        <f t="shared" si="14"/>
        <v>59040.213530966226</v>
      </c>
      <c r="I61" s="2">
        <f t="shared" si="43"/>
        <v>234537.02911938392</v>
      </c>
      <c r="J61" s="2">
        <f t="shared" si="15"/>
        <v>8680.1038080620056</v>
      </c>
      <c r="K61" s="6">
        <f t="shared" si="16"/>
        <v>3.8431869184871452E-2</v>
      </c>
      <c r="L61" s="7">
        <f t="shared" si="17"/>
        <v>1.0384318691848715</v>
      </c>
      <c r="N61">
        <f t="shared" si="18"/>
        <v>2014</v>
      </c>
      <c r="O61" s="2">
        <f t="shared" si="19"/>
        <v>8512.0858336656402</v>
      </c>
      <c r="P61" s="2"/>
      <c r="Q61" s="2"/>
      <c r="R61">
        <f t="shared" si="20"/>
        <v>2014</v>
      </c>
      <c r="S61" s="2">
        <f t="shared" si="93"/>
        <v>56730.27436987323</v>
      </c>
      <c r="T61" s="2"/>
      <c r="U61" s="2">
        <f t="shared" si="94"/>
        <v>55370.978493332761</v>
      </c>
      <c r="V61" s="2">
        <f t="shared" si="94"/>
        <v>22636.075504422464</v>
      </c>
      <c r="W61" s="2"/>
      <c r="X61" s="2">
        <f t="shared" si="95"/>
        <v>33949.818553856705</v>
      </c>
      <c r="Y61" s="2">
        <f t="shared" si="95"/>
        <v>57337.796364233101</v>
      </c>
      <c r="Z61" s="2">
        <f t="shared" si="23"/>
        <v>226024.94328571824</v>
      </c>
      <c r="AA61" s="2">
        <f t="shared" si="112"/>
        <v>8582.8625619894592</v>
      </c>
      <c r="AB61" s="6">
        <f t="shared" si="113"/>
        <v>3.9471948269729919E-2</v>
      </c>
      <c r="AC61" s="7">
        <f t="shared" si="26"/>
        <v>1.0394719482697299</v>
      </c>
      <c r="AD61" s="2">
        <f t="shared" si="27"/>
        <v>0</v>
      </c>
      <c r="AE61" s="2"/>
      <c r="AG61">
        <f t="shared" si="28"/>
        <v>2014</v>
      </c>
      <c r="AH61" s="6">
        <f t="shared" si="108"/>
        <v>0.25099121161225318</v>
      </c>
      <c r="AI61" s="7"/>
      <c r="AJ61" s="6">
        <f t="shared" si="102"/>
        <v>0.24497729183516831</v>
      </c>
      <c r="AK61" s="6">
        <f t="shared" si="102"/>
        <v>0.10014857287590684</v>
      </c>
      <c r="AL61" s="7"/>
      <c r="AM61" s="6">
        <f t="shared" si="114"/>
        <v>0.1502038583013412</v>
      </c>
      <c r="AN61" s="6">
        <f t="shared" si="30"/>
        <v>0.25367906537533058</v>
      </c>
      <c r="AO61" s="6">
        <f t="shared" si="31"/>
        <v>1</v>
      </c>
      <c r="AP61" s="7">
        <f t="shared" si="32"/>
        <v>0.74632093462466953</v>
      </c>
      <c r="AQ61" s="7">
        <f t="shared" si="33"/>
        <v>0</v>
      </c>
      <c r="AR61" s="24"/>
      <c r="AS61">
        <f t="shared" si="34"/>
        <v>2014</v>
      </c>
      <c r="AT61" s="39" t="b">
        <f t="shared" si="35"/>
        <v>0</v>
      </c>
      <c r="AV61" s="1" t="b">
        <f t="shared" si="96"/>
        <v>1</v>
      </c>
      <c r="AW61" s="1" t="b">
        <f t="shared" si="97"/>
        <v>1</v>
      </c>
      <c r="AY61" s="1" t="b">
        <f t="shared" si="46"/>
        <v>1</v>
      </c>
      <c r="AZ61" s="1" t="b">
        <f t="shared" si="37"/>
        <v>1</v>
      </c>
      <c r="BA61" s="1" t="b">
        <f t="shared" si="38"/>
        <v>1</v>
      </c>
      <c r="BC61">
        <f t="shared" si="39"/>
        <v>2014</v>
      </c>
      <c r="BD61" s="27">
        <f>$BK61*BD$39</f>
        <v>45204.988657143651</v>
      </c>
      <c r="BE61" s="2"/>
      <c r="BF61" s="27">
        <f t="shared" si="106"/>
        <v>45204.988657143651</v>
      </c>
      <c r="BG61" s="27">
        <f t="shared" si="106"/>
        <v>22602.494328571825</v>
      </c>
      <c r="BH61" s="2"/>
      <c r="BI61" s="27">
        <f>$BK61*BI$39</f>
        <v>45204.988657143651</v>
      </c>
      <c r="BJ61" s="27">
        <f t="shared" si="107"/>
        <v>67807.482985715469</v>
      </c>
      <c r="BK61" s="2">
        <f t="shared" si="41"/>
        <v>226024.94328571824</v>
      </c>
      <c r="BL61" s="2">
        <f t="shared" si="42"/>
        <v>0</v>
      </c>
      <c r="BM61" s="2"/>
    </row>
    <row r="62" spans="1:65" x14ac:dyDescent="0.25">
      <c r="A62">
        <f t="shared" si="6"/>
        <v>2015</v>
      </c>
      <c r="B62" s="2">
        <f t="shared" si="88"/>
        <v>45770.051015357945</v>
      </c>
      <c r="C62" s="2"/>
      <c r="D62" s="2">
        <f t="shared" si="91"/>
        <v>44544.995822749355</v>
      </c>
      <c r="E62" s="2">
        <f t="shared" si="92"/>
        <v>21748.12004295181</v>
      </c>
      <c r="F62" s="2"/>
      <c r="G62" s="2">
        <f t="shared" si="50"/>
        <v>43229.530652826477</v>
      </c>
      <c r="H62" s="2">
        <f t="shared" si="14"/>
        <v>68010.905434672604</v>
      </c>
      <c r="I62" s="2">
        <f t="shared" si="43"/>
        <v>223303.6029685582</v>
      </c>
      <c r="J62" s="2">
        <f t="shared" si="15"/>
        <v>-11233.426150825719</v>
      </c>
      <c r="K62" s="6">
        <f t="shared" si="16"/>
        <v>-4.7896173124575933E-2</v>
      </c>
      <c r="L62" s="7">
        <f t="shared" si="17"/>
        <v>0.95210382687542405</v>
      </c>
      <c r="N62">
        <f t="shared" si="18"/>
        <v>2015</v>
      </c>
      <c r="O62" s="2">
        <f t="shared" si="19"/>
        <v>8621.8917409199257</v>
      </c>
      <c r="P62" s="2"/>
      <c r="Q62" s="2"/>
      <c r="R62">
        <f t="shared" si="20"/>
        <v>2015</v>
      </c>
      <c r="S62" s="2">
        <f t="shared" si="93"/>
        <v>44045.67266717396</v>
      </c>
      <c r="T62" s="2"/>
      <c r="U62" s="2">
        <f t="shared" si="94"/>
        <v>42820.61747456537</v>
      </c>
      <c r="V62" s="2">
        <f t="shared" si="94"/>
        <v>20023.741694767825</v>
      </c>
      <c r="W62" s="2"/>
      <c r="X62" s="2">
        <f t="shared" si="95"/>
        <v>41505.152304642492</v>
      </c>
      <c r="Y62" s="2">
        <f t="shared" si="95"/>
        <v>66286.527086488626</v>
      </c>
      <c r="Z62" s="2">
        <f t="shared" si="23"/>
        <v>214681.7112276383</v>
      </c>
      <c r="AA62" s="2">
        <f t="shared" si="112"/>
        <v>-11343.232058079942</v>
      </c>
      <c r="AB62" s="6">
        <f t="shared" si="113"/>
        <v>-5.0185753365021124E-2</v>
      </c>
      <c r="AC62" s="7">
        <f t="shared" si="26"/>
        <v>0.94981424663497882</v>
      </c>
      <c r="AD62" s="2">
        <f t="shared" si="27"/>
        <v>0</v>
      </c>
      <c r="AE62" s="2"/>
      <c r="AG62">
        <f t="shared" si="28"/>
        <v>2015</v>
      </c>
      <c r="AH62" s="6">
        <f t="shared" si="108"/>
        <v>0.20516732615602276</v>
      </c>
      <c r="AI62" s="7"/>
      <c r="AJ62" s="6">
        <f t="shared" si="102"/>
        <v>0.19946094723066754</v>
      </c>
      <c r="AK62" s="6">
        <f t="shared" si="102"/>
        <v>9.3271763021935294E-2</v>
      </c>
      <c r="AL62" s="7"/>
      <c r="AM62" s="6">
        <f t="shared" si="114"/>
        <v>0.19333343332927133</v>
      </c>
      <c r="AN62" s="38">
        <f t="shared" si="30"/>
        <v>0.30876653026210293</v>
      </c>
      <c r="AO62" s="6">
        <f t="shared" si="31"/>
        <v>0.99999999999999978</v>
      </c>
      <c r="AP62" s="7">
        <f t="shared" si="32"/>
        <v>0.6912334697378969</v>
      </c>
      <c r="AQ62" s="7">
        <f t="shared" si="33"/>
        <v>0</v>
      </c>
      <c r="AR62" s="24"/>
      <c r="AS62">
        <f t="shared" si="34"/>
        <v>2015</v>
      </c>
      <c r="AT62" s="1" t="b">
        <f t="shared" si="35"/>
        <v>1</v>
      </c>
      <c r="AV62" s="1" t="b">
        <f t="shared" si="96"/>
        <v>1</v>
      </c>
      <c r="AW62" s="1" t="b">
        <f t="shared" si="97"/>
        <v>1</v>
      </c>
      <c r="AY62" s="1" t="b">
        <f t="shared" si="46"/>
        <v>1</v>
      </c>
      <c r="AZ62" s="1" t="b">
        <f t="shared" si="37"/>
        <v>1</v>
      </c>
      <c r="BA62" s="1" t="b">
        <f t="shared" si="38"/>
        <v>1</v>
      </c>
      <c r="BC62">
        <f t="shared" si="39"/>
        <v>2015</v>
      </c>
      <c r="BD62" s="2">
        <f t="shared" ref="BD62" si="125">S62</f>
        <v>44045.67266717396</v>
      </c>
      <c r="BE62" s="2"/>
      <c r="BF62" s="2">
        <f t="shared" ref="BF62" si="126">U62</f>
        <v>42820.61747456537</v>
      </c>
      <c r="BG62" s="2">
        <f t="shared" ref="BG62" si="127">V62</f>
        <v>20023.741694767825</v>
      </c>
      <c r="BH62" s="2"/>
      <c r="BI62" s="2">
        <f>X62</f>
        <v>41505.152304642492</v>
      </c>
      <c r="BJ62" s="2">
        <f t="shared" ref="BJ62" si="128">Y62</f>
        <v>66286.527086488626</v>
      </c>
      <c r="BK62" s="2">
        <f t="shared" si="41"/>
        <v>214681.7112276383</v>
      </c>
      <c r="BL62" s="2">
        <f t="shared" si="42"/>
        <v>0</v>
      </c>
      <c r="BM62" s="2"/>
    </row>
    <row r="63" spans="1:65" x14ac:dyDescent="0.25">
      <c r="A63">
        <f t="shared" si="6"/>
        <v>2016</v>
      </c>
      <c r="B63" s="2">
        <f t="shared" si="88"/>
        <v>49251.871176433924</v>
      </c>
      <c r="C63" s="2"/>
      <c r="D63" s="2">
        <f t="shared" si="91"/>
        <v>47560.859828999754</v>
      </c>
      <c r="E63" s="2">
        <f t="shared" si="92"/>
        <v>23662.055560707136</v>
      </c>
      <c r="F63" s="2"/>
      <c r="G63" s="2">
        <f t="shared" si="50"/>
        <v>43435.141886808364</v>
      </c>
      <c r="H63" s="2">
        <f t="shared" si="14"/>
        <v>67943.690263650831</v>
      </c>
      <c r="I63" s="2">
        <f t="shared" si="43"/>
        <v>231853.6187166</v>
      </c>
      <c r="J63" s="2">
        <f t="shared" si="15"/>
        <v>8550.0157480417984</v>
      </c>
      <c r="K63" s="6">
        <f t="shared" si="16"/>
        <v>3.8288749641203351E-2</v>
      </c>
      <c r="L63" s="7">
        <f t="shared" si="17"/>
        <v>1.0382887496412034</v>
      </c>
      <c r="N63">
        <f t="shared" si="18"/>
        <v>2016</v>
      </c>
      <c r="O63" s="2">
        <f t="shared" si="19"/>
        <v>8659.8280645799732</v>
      </c>
      <c r="P63" s="2"/>
      <c r="Q63" s="2"/>
      <c r="R63">
        <f t="shared" si="20"/>
        <v>2016</v>
      </c>
      <c r="S63" s="2">
        <f t="shared" si="93"/>
        <v>47519.905563517932</v>
      </c>
      <c r="T63" s="2"/>
      <c r="U63" s="2">
        <f t="shared" si="94"/>
        <v>45828.894216083761</v>
      </c>
      <c r="V63" s="2">
        <f t="shared" si="94"/>
        <v>21930.089947791141</v>
      </c>
      <c r="W63" s="2"/>
      <c r="X63" s="2">
        <f t="shared" si="95"/>
        <v>41703.176273892372</v>
      </c>
      <c r="Y63" s="2">
        <f t="shared" si="95"/>
        <v>66211.724650734832</v>
      </c>
      <c r="Z63" s="2">
        <f t="shared" si="23"/>
        <v>223193.79065202005</v>
      </c>
      <c r="AA63" s="2">
        <f t="shared" si="112"/>
        <v>8512.0794243817509</v>
      </c>
      <c r="AB63" s="6">
        <f t="shared" si="113"/>
        <v>3.9649765113694037E-2</v>
      </c>
      <c r="AC63" s="7">
        <f t="shared" si="26"/>
        <v>1.039649765113694</v>
      </c>
      <c r="AD63" s="2">
        <f t="shared" si="27"/>
        <v>0</v>
      </c>
      <c r="AE63" s="2"/>
      <c r="AG63">
        <f t="shared" si="28"/>
        <v>2016</v>
      </c>
      <c r="AH63" s="6">
        <f t="shared" si="108"/>
        <v>0.21290872575216888</v>
      </c>
      <c r="AI63" s="7"/>
      <c r="AJ63" s="6">
        <f t="shared" si="102"/>
        <v>0.20533229926425367</v>
      </c>
      <c r="AK63" s="6">
        <f t="shared" si="102"/>
        <v>9.825582460751428E-2</v>
      </c>
      <c r="AL63" s="7"/>
      <c r="AM63" s="6">
        <f t="shared" si="114"/>
        <v>0.18684738563767447</v>
      </c>
      <c r="AN63" s="6">
        <f t="shared" si="30"/>
        <v>0.29665576473838867</v>
      </c>
      <c r="AO63" s="6">
        <f t="shared" si="31"/>
        <v>1</v>
      </c>
      <c r="AP63" s="7">
        <f t="shared" si="32"/>
        <v>0.70334423526161127</v>
      </c>
      <c r="AQ63" s="7">
        <f t="shared" si="33"/>
        <v>0</v>
      </c>
      <c r="AR63" s="24"/>
      <c r="AS63">
        <f t="shared" si="34"/>
        <v>2016</v>
      </c>
      <c r="AT63" s="1" t="b">
        <f t="shared" si="35"/>
        <v>1</v>
      </c>
      <c r="AV63" s="1" t="b">
        <f t="shared" si="96"/>
        <v>1</v>
      </c>
      <c r="AW63" s="1" t="b">
        <f t="shared" si="97"/>
        <v>1</v>
      </c>
      <c r="AY63" s="1" t="b">
        <f t="shared" si="46"/>
        <v>1</v>
      </c>
      <c r="AZ63" s="1" t="b">
        <f t="shared" si="37"/>
        <v>1</v>
      </c>
      <c r="BA63" s="1" t="b">
        <f t="shared" si="38"/>
        <v>1</v>
      </c>
      <c r="BC63">
        <f t="shared" si="39"/>
        <v>2016</v>
      </c>
      <c r="BD63" s="2">
        <f>$BK63*BD$39</f>
        <v>44638.758130404014</v>
      </c>
      <c r="BE63" s="2"/>
      <c r="BF63" s="2">
        <f t="shared" ref="BF63:BG63" si="129">$BK63*BF$39</f>
        <v>44638.758130404014</v>
      </c>
      <c r="BG63" s="2">
        <f t="shared" si="129"/>
        <v>22319.379065202007</v>
      </c>
      <c r="BH63" s="2"/>
      <c r="BI63" s="2">
        <f>$BK63*BI$39</f>
        <v>44638.758130404014</v>
      </c>
      <c r="BJ63" s="2">
        <f t="shared" ref="BJ63" si="130">$BK63*BJ$39</f>
        <v>66958.137195606017</v>
      </c>
      <c r="BK63" s="2">
        <f t="shared" si="41"/>
        <v>223193.79065202005</v>
      </c>
      <c r="BL63" s="2">
        <f t="shared" si="42"/>
        <v>0</v>
      </c>
      <c r="BM63" s="2"/>
    </row>
    <row r="64" spans="1:65" x14ac:dyDescent="0.25">
      <c r="A64">
        <f t="shared" si="6"/>
        <v>2017</v>
      </c>
      <c r="B64" s="2">
        <f t="shared" si="88"/>
        <v>54311.977017262558</v>
      </c>
      <c r="C64" s="2"/>
      <c r="D64" s="2">
        <f t="shared" si="91"/>
        <v>53387.954723963201</v>
      </c>
      <c r="E64" s="2">
        <f t="shared" si="92"/>
        <v>25912.799094699531</v>
      </c>
      <c r="F64" s="2"/>
      <c r="G64" s="2">
        <f t="shared" si="50"/>
        <v>56869.777858134716</v>
      </c>
      <c r="H64" s="2">
        <f t="shared" si="14"/>
        <v>69274.888742573981</v>
      </c>
      <c r="I64" s="2">
        <f t="shared" si="43"/>
        <v>259757.397436634</v>
      </c>
      <c r="J64" s="2">
        <f t="shared" si="15"/>
        <v>27903.778720033995</v>
      </c>
      <c r="K64" s="6">
        <f t="shared" si="16"/>
        <v>0.12035084409936006</v>
      </c>
      <c r="L64" s="7">
        <f t="shared" si="17"/>
        <v>1.1203508440993601</v>
      </c>
      <c r="N64">
        <f t="shared" si="18"/>
        <v>2017</v>
      </c>
      <c r="O64" s="2">
        <f t="shared" si="19"/>
        <v>8807.0451416778324</v>
      </c>
      <c r="P64" s="2"/>
      <c r="Q64" s="2"/>
      <c r="R64">
        <f t="shared" si="20"/>
        <v>2017</v>
      </c>
      <c r="S64" s="2">
        <f t="shared" si="93"/>
        <v>52550.567988926989</v>
      </c>
      <c r="T64" s="2"/>
      <c r="U64" s="2">
        <f t="shared" si="94"/>
        <v>51626.545695627632</v>
      </c>
      <c r="V64" s="2">
        <f t="shared" si="94"/>
        <v>24151.390066363965</v>
      </c>
      <c r="W64" s="2"/>
      <c r="X64" s="2">
        <f t="shared" si="95"/>
        <v>55108.368829799147</v>
      </c>
      <c r="Y64" s="2">
        <f t="shared" si="95"/>
        <v>67513.47971423842</v>
      </c>
      <c r="Z64" s="2">
        <f t="shared" si="23"/>
        <v>250950.35229495616</v>
      </c>
      <c r="AA64" s="2">
        <f t="shared" si="112"/>
        <v>27756.561642936111</v>
      </c>
      <c r="AB64" s="6">
        <f t="shared" si="113"/>
        <v>0.12436081470658465</v>
      </c>
      <c r="AC64" s="7">
        <f t="shared" si="26"/>
        <v>1.1243608147065847</v>
      </c>
      <c r="AD64" s="2">
        <f t="shared" si="27"/>
        <v>0</v>
      </c>
      <c r="AE64" s="2"/>
      <c r="AG64">
        <f t="shared" si="28"/>
        <v>2017</v>
      </c>
      <c r="AH64" s="6">
        <f t="shared" si="108"/>
        <v>0.20940623317859036</v>
      </c>
      <c r="AI64" s="7"/>
      <c r="AJ64" s="6">
        <f t="shared" si="102"/>
        <v>0.20572414114385473</v>
      </c>
      <c r="AK64" s="6">
        <f t="shared" si="102"/>
        <v>9.6239713734202967E-2</v>
      </c>
      <c r="AL64" s="7"/>
      <c r="AM64" s="6">
        <f t="shared" si="114"/>
        <v>0.21959869083996009</v>
      </c>
      <c r="AN64" s="6">
        <f t="shared" si="30"/>
        <v>0.26903122110339184</v>
      </c>
      <c r="AO64" s="6">
        <f t="shared" si="31"/>
        <v>1</v>
      </c>
      <c r="AP64" s="7">
        <f t="shared" si="32"/>
        <v>0.73096877889660816</v>
      </c>
      <c r="AQ64" s="7">
        <f t="shared" si="33"/>
        <v>0</v>
      </c>
      <c r="AR64" s="24"/>
      <c r="AS64">
        <f t="shared" si="34"/>
        <v>2017</v>
      </c>
      <c r="AT64" s="1" t="b">
        <f t="shared" si="35"/>
        <v>1</v>
      </c>
      <c r="AV64" s="1" t="b">
        <f t="shared" si="96"/>
        <v>1</v>
      </c>
      <c r="AW64" s="1" t="b">
        <f t="shared" si="97"/>
        <v>1</v>
      </c>
      <c r="AY64" s="1" t="b">
        <f t="shared" si="46"/>
        <v>1</v>
      </c>
      <c r="AZ64" s="1" t="b">
        <f t="shared" si="37"/>
        <v>1</v>
      </c>
      <c r="BA64" s="1" t="b">
        <f t="shared" si="38"/>
        <v>1</v>
      </c>
      <c r="BC64">
        <f t="shared" si="39"/>
        <v>2017</v>
      </c>
      <c r="BD64" s="2">
        <f t="shared" si="63"/>
        <v>52550.567988926989</v>
      </c>
      <c r="BE64" s="2"/>
      <c r="BF64" s="2">
        <f t="shared" ref="BF64:BG64" si="131">U64</f>
        <v>51626.545695627632</v>
      </c>
      <c r="BG64" s="2">
        <f t="shared" si="131"/>
        <v>24151.390066363965</v>
      </c>
      <c r="BH64" s="2"/>
      <c r="BI64" s="2">
        <f>X64</f>
        <v>55108.368829799147</v>
      </c>
      <c r="BJ64" s="2">
        <f t="shared" ref="BJ64" si="132">Y64</f>
        <v>67513.47971423842</v>
      </c>
      <c r="BK64" s="2">
        <f t="shared" si="41"/>
        <v>250950.35229495616</v>
      </c>
      <c r="BL64" s="2">
        <f t="shared" si="42"/>
        <v>0</v>
      </c>
      <c r="BM64" s="2"/>
    </row>
    <row r="65" spans="1:62" x14ac:dyDescent="0.25">
      <c r="A65" s="9" t="s">
        <v>79</v>
      </c>
      <c r="B65" s="10">
        <f>BD64</f>
        <v>52550.567988926989</v>
      </c>
      <c r="C65" s="10"/>
      <c r="D65" s="10">
        <f>BF64</f>
        <v>51626.545695627632</v>
      </c>
      <c r="E65" s="10">
        <f>BG64</f>
        <v>24151.390066363965</v>
      </c>
      <c r="F65" s="10"/>
      <c r="G65" s="10">
        <f>BI64</f>
        <v>55108.368829799147</v>
      </c>
      <c r="H65" s="10">
        <f>BJ64</f>
        <v>67513.47971423842</v>
      </c>
      <c r="I65" s="10">
        <f>SUM(B65:H65)</f>
        <v>250950.35229495616</v>
      </c>
      <c r="J65" s="10"/>
      <c r="K65" s="10"/>
      <c r="L65" s="74"/>
      <c r="N65" t="s">
        <v>40</v>
      </c>
      <c r="O65" s="2">
        <f>O64</f>
        <v>8807.0451416778324</v>
      </c>
      <c r="P65" s="2"/>
      <c r="R65" s="9" t="s">
        <v>79</v>
      </c>
      <c r="S65" s="10">
        <f>S64</f>
        <v>52550.567988926989</v>
      </c>
      <c r="T65" s="10"/>
      <c r="U65" s="10">
        <f>U64</f>
        <v>51626.545695627632</v>
      </c>
      <c r="V65" s="10">
        <f>V64</f>
        <v>24151.390066363965</v>
      </c>
      <c r="W65" s="10"/>
      <c r="X65" s="10">
        <f>X64</f>
        <v>55108.368829799147</v>
      </c>
      <c r="Y65" s="10">
        <f>Y64</f>
        <v>67513.47971423842</v>
      </c>
      <c r="Z65" s="10">
        <f>SUM(S65:Y65)</f>
        <v>250950.35229495616</v>
      </c>
      <c r="AA65" s="10"/>
      <c r="AB65" s="10"/>
      <c r="AC65" s="74"/>
      <c r="AD65" s="10"/>
      <c r="AE65" s="43"/>
      <c r="AK65" s="7"/>
      <c r="BC65" s="21"/>
      <c r="BD65" s="22"/>
      <c r="BF65" s="22"/>
      <c r="BG65" s="22"/>
      <c r="BI65" s="22"/>
      <c r="BJ65" s="22"/>
    </row>
    <row r="66" spans="1:62" x14ac:dyDescent="0.25">
      <c r="A66" s="11" t="s">
        <v>11</v>
      </c>
      <c r="I66" s="6">
        <f>(Z65-Z39)/Z39</f>
        <v>1.5095035229495617</v>
      </c>
      <c r="K66" s="6"/>
      <c r="N66" t="s">
        <v>71</v>
      </c>
      <c r="O66" s="2">
        <f>SUM(O40:O64)</f>
        <v>175900.24499739174</v>
      </c>
      <c r="P66" s="2"/>
      <c r="AB66" s="6"/>
      <c r="AN66" s="80"/>
      <c r="BC66" s="21" t="s">
        <v>161</v>
      </c>
      <c r="BD66">
        <f>COUNTA(BD43,BD45,BD48:BD51,BD54:BD55,BD57,BD61)</f>
        <v>10</v>
      </c>
      <c r="BF66" s="22"/>
    </row>
    <row r="67" spans="1:62" x14ac:dyDescent="0.25">
      <c r="A67" s="1" t="s">
        <v>12</v>
      </c>
      <c r="I67" s="12">
        <f>STDEV(AC40:AC64)</f>
        <v>0.11688760551964904</v>
      </c>
    </row>
    <row r="68" spans="1:62" x14ac:dyDescent="0.25">
      <c r="A68" s="1" t="s">
        <v>13</v>
      </c>
      <c r="I68" s="13">
        <f>((1+I66)^(1/I75))-1</f>
        <v>3.7489027702420907E-2</v>
      </c>
    </row>
    <row r="69" spans="1:62" x14ac:dyDescent="0.25">
      <c r="A69" s="1" t="s">
        <v>83</v>
      </c>
      <c r="I69" s="31">
        <f>J60</f>
        <v>28552.314047798689</v>
      </c>
      <c r="O69" s="2"/>
      <c r="P69" s="2"/>
    </row>
    <row r="70" spans="1:62" x14ac:dyDescent="0.25">
      <c r="A70" s="1" t="s">
        <v>84</v>
      </c>
      <c r="I70" s="32">
        <f>K60</f>
        <v>0.14471184360543787</v>
      </c>
    </row>
    <row r="71" spans="1:62" x14ac:dyDescent="0.25">
      <c r="A71" s="1" t="s">
        <v>43</v>
      </c>
      <c r="I71" s="2">
        <f>O66</f>
        <v>175900.24499739174</v>
      </c>
    </row>
    <row r="72" spans="1:62" x14ac:dyDescent="0.25">
      <c r="A72" s="3" t="s">
        <v>5</v>
      </c>
      <c r="B72" s="3"/>
      <c r="C72" s="3"/>
      <c r="D72" s="3"/>
      <c r="E72" s="3"/>
      <c r="F72" s="3"/>
      <c r="G72" s="3"/>
      <c r="H72" s="3"/>
      <c r="I72" s="33">
        <f>I65-Z65</f>
        <v>0</v>
      </c>
      <c r="Z72" s="2"/>
    </row>
    <row r="73" spans="1:62" x14ac:dyDescent="0.25">
      <c r="A73" s="3" t="s">
        <v>149</v>
      </c>
      <c r="B73" s="3"/>
      <c r="C73" s="3"/>
      <c r="D73" s="3"/>
      <c r="E73" s="3"/>
      <c r="F73" s="3"/>
      <c r="G73" s="3"/>
      <c r="H73" s="3"/>
      <c r="I73" s="33">
        <f>((SUM(AA40:AA64)))-(I65-I39)</f>
        <v>0</v>
      </c>
    </row>
    <row r="74" spans="1:62" x14ac:dyDescent="0.25">
      <c r="A74" s="3" t="s">
        <v>148</v>
      </c>
      <c r="B74" s="3"/>
      <c r="C74" s="3"/>
      <c r="D74" s="3"/>
      <c r="E74" s="3"/>
      <c r="F74" s="3"/>
      <c r="G74" s="3"/>
      <c r="H74" s="3"/>
      <c r="I74" s="33">
        <f>(SUM(O40:O64))-I71</f>
        <v>0</v>
      </c>
      <c r="Z74" s="73"/>
    </row>
    <row r="75" spans="1:62" x14ac:dyDescent="0.25">
      <c r="A75" s="3" t="s">
        <v>160</v>
      </c>
      <c r="B75" s="3"/>
      <c r="C75" s="3"/>
      <c r="D75" s="3"/>
      <c r="E75" s="3"/>
      <c r="F75" s="3"/>
      <c r="G75" s="3"/>
      <c r="H75" s="3"/>
      <c r="I75" s="75">
        <f>COUNTA(I40:I64)</f>
        <v>25</v>
      </c>
    </row>
    <row r="76" spans="1:62" x14ac:dyDescent="0.25">
      <c r="A76" s="1" t="s">
        <v>106</v>
      </c>
      <c r="B76" s="63"/>
      <c r="C76" s="63"/>
      <c r="D76" s="63"/>
      <c r="E76" s="63"/>
      <c r="G76" s="63"/>
      <c r="H76" s="63"/>
      <c r="I76" s="86">
        <f>(SUM(B65:G65)/I65)</f>
        <v>0.73096877889660816</v>
      </c>
    </row>
    <row r="77" spans="1:62" x14ac:dyDescent="0.25">
      <c r="A77" s="1" t="s">
        <v>107</v>
      </c>
      <c r="B77" s="63"/>
      <c r="C77" s="63"/>
      <c r="D77" s="63"/>
      <c r="E77" s="63"/>
      <c r="G77" s="63"/>
      <c r="H77" s="63"/>
      <c r="I77" s="86">
        <f>(H65/I65)</f>
        <v>0.26903122110339184</v>
      </c>
    </row>
    <row r="78" spans="1:62" x14ac:dyDescent="0.25">
      <c r="A78" s="3" t="s">
        <v>108</v>
      </c>
      <c r="I78" s="3">
        <f>100%-(I76+I77)</f>
        <v>0</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38D6-8225-4F04-97ED-DF255C76E813}">
  <dimension ref="A1:BM78"/>
  <sheetViews>
    <sheetView topLeftCell="A61" zoomScaleNormal="100" workbookViewId="0">
      <pane xSplit="30000" topLeftCell="AV1"/>
      <selection activeCell="A76" sqref="A76:I78"/>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1993</v>
      </c>
      <c r="B4" s="17">
        <f>'Non-Rebalanced Portfolio'!B4</f>
        <v>9.89</v>
      </c>
      <c r="C4" s="19">
        <f>'Non-Rebalanced Portfolio'!C4</f>
        <v>14.49</v>
      </c>
      <c r="D4" s="17"/>
      <c r="E4" s="17"/>
      <c r="F4" s="17">
        <f>'Non-Rebalanced Portfolio'!F4</f>
        <v>30.494</v>
      </c>
      <c r="G4" s="17"/>
      <c r="H4" s="17">
        <f>'Non-Rebalanced Portfolio'!H4</f>
        <v>9.68</v>
      </c>
      <c r="N4" s="49">
        <f>'4.5% Withdrawals-No Rebalancing'!N4</f>
        <v>1993</v>
      </c>
      <c r="O4" s="50">
        <f>'4.5% Withdrawals-No Rebalancing'!O4</f>
        <v>0.03</v>
      </c>
      <c r="P4" s="44"/>
    </row>
    <row r="5" spans="1:16" x14ac:dyDescent="0.25">
      <c r="A5" s="17">
        <f>'Non-Rebalanced Portfolio'!A5</f>
        <v>1994</v>
      </c>
      <c r="B5" s="17">
        <f>'Non-Rebalanced Portfolio'!B5</f>
        <v>1.18</v>
      </c>
      <c r="C5" s="19">
        <f>'Non-Rebalanced Portfolio'!C5</f>
        <v>-1.764</v>
      </c>
      <c r="D5" s="17"/>
      <c r="E5" s="17"/>
      <c r="F5" s="17">
        <f>'Non-Rebalanced Portfolio'!F5</f>
        <v>5.2549999999999999</v>
      </c>
      <c r="G5" s="17"/>
      <c r="H5" s="17">
        <f>'Non-Rebalanced Portfolio'!H5</f>
        <v>-2.66</v>
      </c>
      <c r="N5" s="49">
        <f>'4.5% Withdrawals-No Rebalancing'!N5</f>
        <v>1994</v>
      </c>
      <c r="O5" s="50">
        <f>'4.5% Withdrawals-No Rebalancing'!O5</f>
        <v>2.8000000000000001E-2</v>
      </c>
      <c r="P5" s="44"/>
    </row>
    <row r="6" spans="1:16" x14ac:dyDescent="0.25">
      <c r="A6" s="17">
        <f>'Non-Rebalanced Portfolio'!A6</f>
        <v>1995</v>
      </c>
      <c r="B6" s="17">
        <f>'Non-Rebalanced Portfolio'!B6</f>
        <v>37.450000000000003</v>
      </c>
      <c r="C6" s="19">
        <f>'Non-Rebalanced Portfolio'!C6</f>
        <v>33.796999999999997</v>
      </c>
      <c r="D6" s="17"/>
      <c r="E6" s="17"/>
      <c r="F6" s="17">
        <f>'Non-Rebalanced Portfolio'!F6</f>
        <v>9.6460000000000008</v>
      </c>
      <c r="G6" s="17"/>
      <c r="H6" s="17">
        <f>'Non-Rebalanced Portfolio'!H6</f>
        <v>18.18</v>
      </c>
      <c r="N6" s="49">
        <f>'4.5% Withdrawals-No Rebalancing'!N6</f>
        <v>1995</v>
      </c>
      <c r="O6" s="50">
        <f>'4.5% Withdrawals-No Rebalancing'!O6</f>
        <v>2.5999999999999999E-2</v>
      </c>
      <c r="P6" s="44"/>
    </row>
    <row r="7" spans="1:16" x14ac:dyDescent="0.25">
      <c r="A7" s="17">
        <f>'Non-Rebalanced Portfolio'!A7</f>
        <v>1996</v>
      </c>
      <c r="B7" s="17">
        <f>'Non-Rebalanced Portfolio'!B7</f>
        <v>22.88</v>
      </c>
      <c r="C7" s="19">
        <f>'Non-Rebalanced Portfolio'!C7</f>
        <v>17.646999999999998</v>
      </c>
      <c r="D7" s="17"/>
      <c r="E7" s="17"/>
      <c r="F7" s="17">
        <f>'Non-Rebalanced Portfolio'!F7</f>
        <v>10.218999999999999</v>
      </c>
      <c r="G7" s="17"/>
      <c r="H7" s="17">
        <f>'Non-Rebalanced Portfolio'!H7</f>
        <v>3.58</v>
      </c>
      <c r="N7" s="49">
        <f>'4.5% Withdrawals-No Rebalancing'!N7</f>
        <v>1996</v>
      </c>
      <c r="O7" s="50">
        <f>'4.5% Withdrawals-No Rebalancing'!O7</f>
        <v>2.5000000000000001E-2</v>
      </c>
      <c r="P7" s="44"/>
    </row>
    <row r="8" spans="1:16" x14ac:dyDescent="0.25">
      <c r="A8" s="17">
        <f>'Non-Rebalanced Portfolio'!A8</f>
        <v>1997</v>
      </c>
      <c r="B8" s="17">
        <f>'Non-Rebalanced Portfolio'!B8</f>
        <v>33.19</v>
      </c>
      <c r="C8" s="19">
        <f>'Non-Rebalanced Portfolio'!C8</f>
        <v>26.687000000000001</v>
      </c>
      <c r="D8" s="17"/>
      <c r="E8" s="17"/>
      <c r="F8" s="17">
        <f>'Non-Rebalanced Portfolio'!F8</f>
        <v>0</v>
      </c>
      <c r="G8" s="17"/>
      <c r="H8" s="17">
        <f>'Non-Rebalanced Portfolio'!H8</f>
        <v>9.44</v>
      </c>
      <c r="N8" s="49">
        <f>'4.5% Withdrawals-No Rebalancing'!N8</f>
        <v>1997</v>
      </c>
      <c r="O8" s="50">
        <f>'4.5% Withdrawals-No Rebalancing'!O8</f>
        <v>3.4000000000000002E-2</v>
      </c>
      <c r="P8" s="44"/>
    </row>
    <row r="9" spans="1:16" x14ac:dyDescent="0.25">
      <c r="A9" s="17">
        <f>'Non-Rebalanced Portfolio'!A9</f>
        <v>1998</v>
      </c>
      <c r="B9" s="17">
        <f>'Non-Rebalanced Portfolio'!B9</f>
        <v>28.66</v>
      </c>
      <c r="C9" s="19">
        <f>'Non-Rebalanced Portfolio'!C9</f>
        <v>8.3529999999999998</v>
      </c>
      <c r="D9" s="17"/>
      <c r="E9" s="17"/>
      <c r="F9" s="17">
        <f>'Non-Rebalanced Portfolio'!F9</f>
        <v>0</v>
      </c>
      <c r="G9" s="17"/>
      <c r="H9" s="17">
        <f>'Non-Rebalanced Portfolio'!H9</f>
        <v>8.58</v>
      </c>
      <c r="N9" s="49">
        <f>'4.5% Withdrawals-No Rebalancing'!N9</f>
        <v>1998</v>
      </c>
      <c r="O9" s="50">
        <f>'4.5% Withdrawals-No Rebalancing'!O9</f>
        <v>1.7000000000000001E-2</v>
      </c>
      <c r="P9" s="44"/>
    </row>
    <row r="10" spans="1:16" x14ac:dyDescent="0.25">
      <c r="A10" s="17">
        <f>'Non-Rebalanced Portfolio'!A10</f>
        <v>1999</v>
      </c>
      <c r="B10" s="17">
        <f>'Non-Rebalanced Portfolio'!B10</f>
        <v>21.07</v>
      </c>
      <c r="C10" s="19">
        <f>'Non-Rebalanced Portfolio'!C10</f>
        <v>0</v>
      </c>
      <c r="D10" s="17"/>
      <c r="E10" s="17"/>
      <c r="F10" s="17"/>
      <c r="G10" s="17">
        <f>'Non-Rebalanced Portfolio'!G10</f>
        <v>29.919</v>
      </c>
      <c r="H10" s="17">
        <f>'Non-Rebalanced Portfolio'!H10</f>
        <v>-0.76</v>
      </c>
      <c r="N10" s="49">
        <f>'4.5% Withdrawals-No Rebalancing'!N10</f>
        <v>1999</v>
      </c>
      <c r="O10" s="50">
        <f>'4.5% Withdrawals-No Rebalancing'!O10</f>
        <v>1.6E-2</v>
      </c>
      <c r="P10" s="44"/>
    </row>
    <row r="11" spans="1:16" x14ac:dyDescent="0.25">
      <c r="A11" s="17">
        <f>'Non-Rebalanced Portfolio'!A11</f>
        <v>2000</v>
      </c>
      <c r="B11" s="17">
        <f>'Non-Rebalanced Portfolio'!B11</f>
        <v>-9.06</v>
      </c>
      <c r="C11" s="19">
        <f>'Non-Rebalanced Portfolio'!C11</f>
        <v>0</v>
      </c>
      <c r="D11" s="17"/>
      <c r="E11" s="17"/>
      <c r="F11" s="17"/>
      <c r="G11" s="17">
        <f>'Non-Rebalanced Portfolio'!G11</f>
        <v>-15.614000000000001</v>
      </c>
      <c r="H11" s="17">
        <f>'Non-Rebalanced Portfolio'!H11</f>
        <v>11.39</v>
      </c>
      <c r="N11" s="49">
        <f>'4.5% Withdrawals-No Rebalancing'!N11</f>
        <v>2000</v>
      </c>
      <c r="O11" s="50">
        <f>'4.5% Withdrawals-No Rebalancing'!O11</f>
        <v>2.7E-2</v>
      </c>
      <c r="P11" s="44"/>
    </row>
    <row r="12" spans="1:16" x14ac:dyDescent="0.25">
      <c r="A12" s="17">
        <f>'Non-Rebalanced Portfolio'!A12</f>
        <v>2001</v>
      </c>
      <c r="B12" s="17">
        <f>'Non-Rebalanced Portfolio'!B12</f>
        <v>-12.02</v>
      </c>
      <c r="C12" s="19">
        <f>'Non-Rebalanced Portfolio'!C12</f>
        <v>0</v>
      </c>
      <c r="D12" s="17"/>
      <c r="E12" s="17"/>
      <c r="F12" s="17"/>
      <c r="G12" s="17">
        <f>'Non-Rebalanced Portfolio'!G12</f>
        <v>-20.152999999999999</v>
      </c>
      <c r="H12" s="17">
        <f>'Non-Rebalanced Portfolio'!H12</f>
        <v>8.43</v>
      </c>
      <c r="N12" s="49">
        <f>'4.5% Withdrawals-No Rebalancing'!N12</f>
        <v>2001</v>
      </c>
      <c r="O12" s="50">
        <f>'4.5% Withdrawals-No Rebalancing'!O12</f>
        <v>3.4000000000000002E-2</v>
      </c>
      <c r="P12" s="44"/>
    </row>
    <row r="13" spans="1:16" x14ac:dyDescent="0.25">
      <c r="A13" s="17">
        <f>'Non-Rebalanced Portfolio'!A13</f>
        <v>2002</v>
      </c>
      <c r="B13" s="17">
        <f>'Non-Rebalanced Portfolio'!B13</f>
        <v>-22.15</v>
      </c>
      <c r="C13" s="19">
        <f>'Non-Rebalanced Portfolio'!C13</f>
        <v>0</v>
      </c>
      <c r="D13" s="17"/>
      <c r="E13" s="17"/>
      <c r="F13" s="17"/>
      <c r="G13" s="17">
        <f>'Non-Rebalanced Portfolio'!G13</f>
        <v>-15.083</v>
      </c>
      <c r="H13" s="17">
        <f>'Non-Rebalanced Portfolio'!H13</f>
        <v>8.26</v>
      </c>
      <c r="N13" s="49">
        <f>'4.5% Withdrawals-No Rebalancing'!N13</f>
        <v>2002</v>
      </c>
      <c r="O13" s="50">
        <f>'4.5% Withdrawals-No Rebalancing'!O13</f>
        <v>1.6E-2</v>
      </c>
      <c r="P13" s="44"/>
    </row>
    <row r="14" spans="1:16" x14ac:dyDescent="0.25">
      <c r="A14" s="17">
        <f>'Non-Rebalanced Portfolio'!A14</f>
        <v>2003</v>
      </c>
      <c r="B14" s="17">
        <f>'Non-Rebalanced Portfolio'!B14</f>
        <v>28.5</v>
      </c>
      <c r="C14" s="19">
        <f>'Non-Rebalanced Portfolio'!C14</f>
        <v>0</v>
      </c>
      <c r="D14" s="17">
        <f>'Non-Rebalanced Portfolio'!D14</f>
        <v>34.142000000000003</v>
      </c>
      <c r="E14" s="17">
        <f>'Non-Rebalanced Portfolio'!E14</f>
        <v>45.628</v>
      </c>
      <c r="F14" s="17"/>
      <c r="G14" s="17">
        <f>'Non-Rebalanced Portfolio'!G14</f>
        <v>40.340000000000003</v>
      </c>
      <c r="H14" s="17">
        <f>'Non-Rebalanced Portfolio'!H14</f>
        <v>3.97</v>
      </c>
      <c r="N14" s="49">
        <f>'4.5% Withdrawals-No Rebalancing'!N14</f>
        <v>2003</v>
      </c>
      <c r="O14" s="50">
        <f>'4.5% Withdrawals-No Rebalancing'!O14</f>
        <v>2.5000000000000001E-2</v>
      </c>
      <c r="P14" s="44"/>
    </row>
    <row r="15" spans="1:16"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c r="N15" s="49">
        <f>'4.5% Withdrawals-No Rebalancing'!N15</f>
        <v>2004</v>
      </c>
      <c r="O15" s="50">
        <f>'4.5% Withdrawals-No Rebalancing'!O15</f>
        <v>0.02</v>
      </c>
      <c r="P15" s="44"/>
    </row>
    <row r="16" spans="1:16"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c r="N16" s="49">
        <f>'4.5% Withdrawals-No Rebalancing'!N16</f>
        <v>2005</v>
      </c>
      <c r="O16" s="50">
        <f>'4.5% Withdrawals-No Rebalancing'!O16</f>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9">
        <f>'4.5% Withdrawals-No Rebalancing'!N17</f>
        <v>2006</v>
      </c>
      <c r="O17" s="50">
        <f>'4.5% Withdrawals-No Rebalancing'!O17</f>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9">
        <f>'4.5% Withdrawals-No Rebalancing'!N18</f>
        <v>2007</v>
      </c>
      <c r="O18" s="50">
        <f>'4.5% Withdrawals-No Rebalancing'!O18</f>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9">
        <f>'4.5% Withdrawals-No Rebalancing'!N19</f>
        <v>2008</v>
      </c>
      <c r="O19" s="50">
        <f>'4.5% Withdrawals-No Rebalancing'!O19</f>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9">
        <f>'4.5% Withdrawals-No Rebalancing'!N20</f>
        <v>2009</v>
      </c>
      <c r="O20" s="50">
        <f>'4.5% Withdrawals-No Rebalancing'!O20</f>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9">
        <f>'4.5% Withdrawals-No Rebalancing'!N21</f>
        <v>2010</v>
      </c>
      <c r="O21" s="50">
        <f>'4.5% Withdrawals-No Rebalancing'!O21</f>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9">
        <f>'4.5% Withdrawals-No Rebalancing'!N22</f>
        <v>2011</v>
      </c>
      <c r="O22" s="50">
        <f>'4.5% Withdrawals-No Rebalancing'!O22</f>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9">
        <f>'4.5% Withdrawals-No Rebalancing'!N23</f>
        <v>2012</v>
      </c>
      <c r="O23" s="50">
        <f>'4.5% Withdrawals-No Rebalancing'!O23</f>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9">
        <f>'4.5% Withdrawals-No Rebalancing'!N24</f>
        <v>2013</v>
      </c>
      <c r="O24" s="50">
        <f>'4.5% Withdrawals-No Rebalancing'!O24</f>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9">
        <f>'4.5% Withdrawals-No Rebalancing'!N25</f>
        <v>2014</v>
      </c>
      <c r="O25" s="50">
        <f>'4.5% Withdrawals-No Rebalancing'!O25</f>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9">
        <f>'4.5% Withdrawals-No Rebalancing'!N26</f>
        <v>2015</v>
      </c>
      <c r="O26" s="50">
        <f>'4.5% Withdrawals-No Rebalancing'!O26</f>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9">
        <f>'4.5% Withdrawals-No Rebalancing'!N27</f>
        <v>2016</v>
      </c>
      <c r="O27" s="50">
        <f>'4.5% Withdrawals-No Rebalancing'!O27</f>
        <v>4.4000000000000003E-3</v>
      </c>
    </row>
    <row r="28" spans="1:16" x14ac:dyDescent="0.25">
      <c r="A28" s="17">
        <f>'Non-Rebalanced Portfolio'!A28</f>
        <v>2017</v>
      </c>
      <c r="B28" s="17">
        <f>'Non-Rebalanced Portfolio'!B28</f>
        <v>21.67</v>
      </c>
      <c r="C28" s="17"/>
      <c r="D28" s="17">
        <f>'Non-Rebalanced Portfolio'!D28</f>
        <v>19.600000000000001</v>
      </c>
      <c r="E28" s="17">
        <f>'Non-Rebalanced Portfolio'!E28</f>
        <v>16.100000000000001</v>
      </c>
      <c r="F28" s="17"/>
      <c r="G28" s="17">
        <f>'Non-Rebalanced Portfolio'!G28</f>
        <v>27.4</v>
      </c>
      <c r="H28" s="17">
        <f>'Non-Rebalanced Portfolio'!H28</f>
        <v>3.46</v>
      </c>
      <c r="N28" s="49">
        <f>'4.5% Withdrawals-No Rebalancing'!N28</f>
        <v>2017</v>
      </c>
      <c r="O28" s="50">
        <f>'4.5% Withdrawals-No Rebalancing'!O28</f>
        <v>1.7000000000000001E-2</v>
      </c>
    </row>
    <row r="29" spans="1:16" x14ac:dyDescent="0.25">
      <c r="A29" s="17">
        <f>'Non-Rebalanced Portfolio'!A29</f>
        <v>2017</v>
      </c>
      <c r="B29" s="17">
        <f>'Non-Rebalanced Portfolio'!B29</f>
        <v>21.67</v>
      </c>
      <c r="C29" s="17"/>
      <c r="D29" s="17">
        <f>'Non-Rebalanced Portfolio'!D29</f>
        <v>19.600000000000001</v>
      </c>
      <c r="E29" s="17">
        <f>'Non-Rebalanced Portfolio'!E29</f>
        <v>16.100000000000001</v>
      </c>
      <c r="F29" s="17"/>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7"/>
      <c r="D30" s="17">
        <f>'Non-Rebalanced Portfolio'!D30</f>
        <v>19.600000000000001</v>
      </c>
      <c r="E30" s="17">
        <f>'Non-Rebalanced Portfolio'!E30</f>
        <v>16.100000000000001</v>
      </c>
      <c r="F30" s="17"/>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'4.5% Withdrawals-No Rebalancing'!N32</f>
        <v>2017</v>
      </c>
      <c r="O32" s="50">
        <f>'4.5% Withdrawals-No Rebalancing'!O32</f>
        <v>2.23E-2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5">
      <c r="A36" s="20" t="s">
        <v>157</v>
      </c>
      <c r="N36" s="20" t="s">
        <v>25</v>
      </c>
      <c r="R36" s="20" t="s">
        <v>158</v>
      </c>
      <c r="AG36" s="20" t="s">
        <v>159</v>
      </c>
      <c r="AS36" s="20" t="s">
        <v>7</v>
      </c>
      <c r="BC36" s="20" t="s">
        <v>156</v>
      </c>
    </row>
    <row r="37" spans="1:6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65"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65"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65" x14ac:dyDescent="0.25">
      <c r="A40">
        <f t="shared" ref="A40:A64" si="6">A4</f>
        <v>1993</v>
      </c>
      <c r="B40" s="2">
        <f>B39*(1+(B4/100))</f>
        <v>21978</v>
      </c>
      <c r="C40" s="2">
        <f>C39*(1+(C4/100))</f>
        <v>34347</v>
      </c>
      <c r="D40" s="2"/>
      <c r="E40" s="2"/>
      <c r="F40" s="2">
        <f>F39*(1+(F4/100))</f>
        <v>26098.799999999999</v>
      </c>
      <c r="G40" s="2"/>
      <c r="H40" s="2">
        <f>H39*(1+(H4/100))</f>
        <v>32904</v>
      </c>
      <c r="I40" s="2">
        <f>SUM(B40:H40)</f>
        <v>115327.8</v>
      </c>
      <c r="J40" s="2">
        <f>I40-I39</f>
        <v>15327.800000000003</v>
      </c>
      <c r="K40" s="6">
        <f>(J40/I39)</f>
        <v>0.15327800000000003</v>
      </c>
      <c r="L40" s="7">
        <f>K40+1</f>
        <v>1.153278</v>
      </c>
      <c r="N40">
        <f>A40</f>
        <v>1993</v>
      </c>
      <c r="O40" s="2">
        <f>I40*0.04</f>
        <v>4613.1120000000001</v>
      </c>
      <c r="P40" s="2"/>
      <c r="Q40" s="2"/>
      <c r="R40">
        <f>A40</f>
        <v>1993</v>
      </c>
      <c r="S40" s="2">
        <f>B40-($O40/4)</f>
        <v>20824.722000000002</v>
      </c>
      <c r="T40" s="2">
        <f>C40-($O40/4)</f>
        <v>33193.722000000002</v>
      </c>
      <c r="U40" s="2"/>
      <c r="V40" s="2"/>
      <c r="W40" s="2">
        <f t="shared" ref="W40:W44" si="7">F40-($O40/4)</f>
        <v>24945.522000000001</v>
      </c>
      <c r="X40" s="2"/>
      <c r="Y40" s="2">
        <f>H40-($O40/4)</f>
        <v>31750.722000000002</v>
      </c>
      <c r="Z40" s="2">
        <f>SUM(S40:Y40)</f>
        <v>110714.68799999999</v>
      </c>
      <c r="AA40" s="2">
        <f>Z40-Z39</f>
        <v>10714.687999999995</v>
      </c>
      <c r="AB40" s="6">
        <f>(AA40/Z39)</f>
        <v>0.10714687999999994</v>
      </c>
      <c r="AC40" s="7">
        <f>AB40+1</f>
        <v>1.1071468799999999</v>
      </c>
      <c r="AD40" s="2">
        <f>Z40-(I40-O40)</f>
        <v>0</v>
      </c>
      <c r="AE40" s="2"/>
      <c r="AG40">
        <f>A40</f>
        <v>1993</v>
      </c>
      <c r="AH40" s="6">
        <f t="shared" si="5"/>
        <v>0.18809357977868305</v>
      </c>
      <c r="AI40" s="6">
        <f t="shared" si="5"/>
        <v>0.29981317384013223</v>
      </c>
      <c r="AJ40" s="7"/>
      <c r="AK40" s="7"/>
      <c r="AL40" s="6">
        <f>W40/$Z40</f>
        <v>0.22531357357029269</v>
      </c>
      <c r="AM40" s="7"/>
      <c r="AN40" s="6">
        <f>Y40/$Z40</f>
        <v>0.28677967281089212</v>
      </c>
      <c r="AO40" s="6">
        <f>SUM(AH40:AN40)</f>
        <v>1</v>
      </c>
      <c r="AP40" s="7">
        <f>SUM(AH40:AM40)</f>
        <v>0.71322032718910799</v>
      </c>
      <c r="AQ40" s="7">
        <f>AO40-(AP40+AN40)</f>
        <v>0</v>
      </c>
      <c r="AR40" s="24"/>
      <c r="AS40">
        <f>AG40</f>
        <v>1993</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1993</v>
      </c>
      <c r="BD40" s="2">
        <f t="shared" ref="BD40:BE50" si="9">$BK40*BD$39</f>
        <v>22142.937600000001</v>
      </c>
      <c r="BE40" s="2">
        <f t="shared" si="9"/>
        <v>33214.4064</v>
      </c>
      <c r="BF40" s="2"/>
      <c r="BG40" s="2"/>
      <c r="BH40" s="2">
        <f t="shared" ref="BH40:BH43" si="10">$BK40*BH$39</f>
        <v>22142.937600000001</v>
      </c>
      <c r="BI40" s="2"/>
      <c r="BJ40" s="2">
        <f t="shared" ref="BJ40:BJ64" si="11">$BK40*BJ$39</f>
        <v>33214.4064</v>
      </c>
      <c r="BK40" s="2">
        <f>Z40</f>
        <v>110714.68799999999</v>
      </c>
      <c r="BL40" s="2">
        <f>SUM(BD40:BJ40)-Z40</f>
        <v>0</v>
      </c>
      <c r="BM40" s="2"/>
    </row>
    <row r="41" spans="1:65" x14ac:dyDescent="0.25">
      <c r="A41">
        <f t="shared" si="6"/>
        <v>1994</v>
      </c>
      <c r="B41" s="2">
        <f t="shared" ref="B41:B50" si="12">BD40*(1+(B5/100))</f>
        <v>22404.22426368</v>
      </c>
      <c r="C41" s="2">
        <f t="shared" ref="C41:C46" si="13">BE40*(1+(C5/100))</f>
        <v>32628.504271104001</v>
      </c>
      <c r="D41" s="2"/>
      <c r="E41" s="2"/>
      <c r="F41" s="2">
        <f t="shared" ref="F41:F44" si="14">BH40*(1+(F5/100))</f>
        <v>23306.548970880005</v>
      </c>
      <c r="G41" s="2"/>
      <c r="H41" s="2">
        <f t="shared" ref="H41:H64" si="15">BJ40*(1+(H5/100))</f>
        <v>32330.90318976</v>
      </c>
      <c r="I41" s="2">
        <f>SUM(B41:H41)</f>
        <v>110670.180695424</v>
      </c>
      <c r="J41" s="2">
        <f t="shared" ref="J41:J64" si="16">I41-I40</f>
        <v>-4657.619304576001</v>
      </c>
      <c r="K41" s="6">
        <f t="shared" ref="K41:K64" si="17">(J41/I40)</f>
        <v>-4.0385920000000006E-2</v>
      </c>
      <c r="L41" s="7">
        <f t="shared" ref="L41:L64" si="18">K41+1</f>
        <v>0.95961408000000004</v>
      </c>
      <c r="N41">
        <f t="shared" ref="N41:N64" si="19">A41</f>
        <v>1994</v>
      </c>
      <c r="O41" s="2">
        <f t="shared" ref="O41:O64" si="20">O40*(1+O5)</f>
        <v>4742.2791360000001</v>
      </c>
      <c r="P41" s="2"/>
      <c r="Q41" s="2"/>
      <c r="R41">
        <f t="shared" ref="R41:R64" si="21">A41</f>
        <v>1994</v>
      </c>
      <c r="S41" s="2">
        <f t="shared" ref="S41:T46" si="22">B41-($O41/4)</f>
        <v>21218.654479680001</v>
      </c>
      <c r="T41" s="2">
        <f t="shared" si="22"/>
        <v>31442.934487104001</v>
      </c>
      <c r="U41" s="2"/>
      <c r="V41" s="2"/>
      <c r="W41" s="2">
        <f t="shared" si="7"/>
        <v>22120.979186880006</v>
      </c>
      <c r="X41" s="2"/>
      <c r="Y41" s="2">
        <f t="shared" ref="Y41:Y46" si="23">H41-($O41/4)</f>
        <v>31145.33340576</v>
      </c>
      <c r="Z41" s="2">
        <f t="shared" ref="Z41:Z64" si="24">SUM(S41:Y41)</f>
        <v>105927.901559424</v>
      </c>
      <c r="AA41" s="2">
        <f t="shared" ref="AA41:AA55" si="25">Z41-Z40</f>
        <v>-4786.7864405759901</v>
      </c>
      <c r="AB41" s="6">
        <f t="shared" ref="AB41:AB55" si="26">(AA41/Z40)</f>
        <v>-4.3235333333333244E-2</v>
      </c>
      <c r="AC41" s="7">
        <f t="shared" ref="AC41:AC64" si="27">AB41+1</f>
        <v>0.95676466666666671</v>
      </c>
      <c r="AD41" s="2">
        <f t="shared" ref="AD41:AD64" si="28">Z41-(I41-O41)</f>
        <v>0</v>
      </c>
      <c r="AE41" s="2"/>
      <c r="AG41">
        <f t="shared" ref="AG41:AG64" si="29">A41</f>
        <v>1994</v>
      </c>
      <c r="AH41" s="6">
        <f t="shared" si="5"/>
        <v>0.20031223282353655</v>
      </c>
      <c r="AI41" s="6">
        <f t="shared" si="5"/>
        <v>0.29683335574683289</v>
      </c>
      <c r="AJ41" s="7"/>
      <c r="AK41" s="7"/>
      <c r="AL41" s="6">
        <f t="shared" ref="AL41:AM56" si="30">W41/$Z41</f>
        <v>0.20883052398116714</v>
      </c>
      <c r="AM41" s="7"/>
      <c r="AN41" s="6">
        <f t="shared" ref="AN41:AN64" si="31">Y41/$Z41</f>
        <v>0.29402388744846347</v>
      </c>
      <c r="AO41" s="6">
        <f t="shared" ref="AO41:AO64" si="32">SUM(AH41:AN41)</f>
        <v>1</v>
      </c>
      <c r="AP41" s="7">
        <f t="shared" ref="AP41:AP64" si="33">SUM(AH41:AM41)</f>
        <v>0.70597611255153658</v>
      </c>
      <c r="AQ41" s="7">
        <f t="shared" ref="AQ41:AQ64" si="34">AO41-(AP41+AN41)</f>
        <v>0</v>
      </c>
      <c r="AR41" s="24"/>
      <c r="AS41">
        <f t="shared" ref="AS41:AS64" si="35">AG41</f>
        <v>1994</v>
      </c>
      <c r="AT41" s="1" t="b">
        <f t="shared" ref="AT41:AT64" si="36">AND((S41/$Z41)&gt;0.15,(S41/$Z41)&lt;0.25)</f>
        <v>1</v>
      </c>
      <c r="AU41" s="1" t="b">
        <f t="shared" ref="AU41:AU50" si="37">AND((T41/$Z41)&gt;0.25,(T41/$Z41)&lt;0.35)</f>
        <v>1</v>
      </c>
      <c r="AX41" s="1" t="b">
        <f t="shared" si="8"/>
        <v>1</v>
      </c>
      <c r="AZ41" s="1" t="b">
        <f t="shared" ref="AZ41:AZ64" si="38">AND((Y41/$Z41)&gt;0.25,(Y41/$Z41)&lt;0.35)</f>
        <v>1</v>
      </c>
      <c r="BA41" s="1" t="b">
        <f t="shared" ref="BA41:BA64" si="39">AND((Z41/$Z41)&gt;0.999,(Z41/$Z41)&lt;1.01)</f>
        <v>1</v>
      </c>
      <c r="BC41">
        <f t="shared" ref="BC41:BC64" si="40">AS41</f>
        <v>1994</v>
      </c>
      <c r="BD41" s="2">
        <f t="shared" si="9"/>
        <v>21185.580311884802</v>
      </c>
      <c r="BE41" s="2">
        <f t="shared" si="9"/>
        <v>31778.370467827201</v>
      </c>
      <c r="BF41" s="2"/>
      <c r="BG41" s="2"/>
      <c r="BH41" s="2">
        <f t="shared" si="10"/>
        <v>21185.580311884802</v>
      </c>
      <c r="BI41" s="2"/>
      <c r="BJ41" s="2">
        <f t="shared" si="11"/>
        <v>31778.370467827201</v>
      </c>
      <c r="BK41" s="2">
        <f t="shared" ref="BK41:BK64" si="41">Z41</f>
        <v>105927.901559424</v>
      </c>
      <c r="BL41" s="2">
        <f t="shared" ref="BL41:BL64" si="42">SUM(BD41:BJ41)-Z41</f>
        <v>0</v>
      </c>
      <c r="BM41" s="2"/>
    </row>
    <row r="42" spans="1:65" x14ac:dyDescent="0.25">
      <c r="A42">
        <f t="shared" si="6"/>
        <v>1995</v>
      </c>
      <c r="B42" s="2">
        <f t="shared" si="12"/>
        <v>29119.580138685662</v>
      </c>
      <c r="C42" s="2">
        <f t="shared" si="13"/>
        <v>42518.506334838756</v>
      </c>
      <c r="D42" s="2"/>
      <c r="E42" s="2"/>
      <c r="F42" s="2">
        <f t="shared" si="14"/>
        <v>23229.141388769211</v>
      </c>
      <c r="G42" s="2"/>
      <c r="H42" s="2">
        <f t="shared" si="15"/>
        <v>37555.678218878187</v>
      </c>
      <c r="I42" s="2">
        <f t="shared" ref="I42:I64" si="43">SUM(B42:H42)</f>
        <v>132422.90608117182</v>
      </c>
      <c r="J42" s="2">
        <f t="shared" si="16"/>
        <v>21752.725385747821</v>
      </c>
      <c r="K42" s="6">
        <f t="shared" si="17"/>
        <v>0.19655453030851747</v>
      </c>
      <c r="L42" s="7">
        <f t="shared" si="18"/>
        <v>1.1965545303085174</v>
      </c>
      <c r="N42">
        <f t="shared" si="19"/>
        <v>1995</v>
      </c>
      <c r="O42" s="2">
        <f t="shared" si="20"/>
        <v>4865.5783935360005</v>
      </c>
      <c r="P42" s="2"/>
      <c r="Q42" s="2"/>
      <c r="R42">
        <f t="shared" si="21"/>
        <v>1995</v>
      </c>
      <c r="S42" s="2">
        <f t="shared" si="22"/>
        <v>27903.185540301663</v>
      </c>
      <c r="T42" s="2">
        <f t="shared" si="22"/>
        <v>41302.111736454754</v>
      </c>
      <c r="U42" s="2"/>
      <c r="V42" s="2"/>
      <c r="W42" s="2">
        <f t="shared" si="7"/>
        <v>22012.746790385212</v>
      </c>
      <c r="X42" s="2"/>
      <c r="Y42" s="2">
        <f t="shared" si="23"/>
        <v>36339.283620494185</v>
      </c>
      <c r="Z42" s="2">
        <f t="shared" si="24"/>
        <v>127557.32768763581</v>
      </c>
      <c r="AA42" s="2">
        <f t="shared" si="25"/>
        <v>21629.42612821181</v>
      </c>
      <c r="AB42" s="6">
        <f t="shared" si="26"/>
        <v>0.20419007466203809</v>
      </c>
      <c r="AC42" s="7">
        <f t="shared" si="27"/>
        <v>1.204190074662038</v>
      </c>
      <c r="AD42" s="2">
        <f t="shared" si="28"/>
        <v>0</v>
      </c>
      <c r="AE42" s="2"/>
      <c r="AG42">
        <f t="shared" si="29"/>
        <v>1995</v>
      </c>
      <c r="AH42" s="6">
        <f t="shared" si="5"/>
        <v>0.21875015764387429</v>
      </c>
      <c r="AI42" s="6">
        <f t="shared" si="5"/>
        <v>0.32379254477324854</v>
      </c>
      <c r="AJ42" s="7"/>
      <c r="AK42" s="7"/>
      <c r="AL42" s="6">
        <f t="shared" si="30"/>
        <v>0.17257140134113139</v>
      </c>
      <c r="AM42" s="7"/>
      <c r="AN42" s="6">
        <f t="shared" si="31"/>
        <v>0.28488589624174582</v>
      </c>
      <c r="AO42" s="6">
        <f t="shared" si="32"/>
        <v>1</v>
      </c>
      <c r="AP42" s="7">
        <f t="shared" si="33"/>
        <v>0.71511410375825413</v>
      </c>
      <c r="AQ42" s="7">
        <f t="shared" si="34"/>
        <v>0</v>
      </c>
      <c r="AR42" s="24"/>
      <c r="AS42">
        <f t="shared" si="35"/>
        <v>1995</v>
      </c>
      <c r="AT42" s="1" t="b">
        <f t="shared" si="36"/>
        <v>1</v>
      </c>
      <c r="AU42" s="1" t="b">
        <f t="shared" si="37"/>
        <v>1</v>
      </c>
      <c r="AX42" s="1" t="b">
        <f t="shared" si="8"/>
        <v>1</v>
      </c>
      <c r="AZ42" s="1" t="b">
        <f t="shared" si="38"/>
        <v>1</v>
      </c>
      <c r="BA42" s="1" t="b">
        <f t="shared" si="39"/>
        <v>1</v>
      </c>
      <c r="BC42">
        <f t="shared" si="40"/>
        <v>1995</v>
      </c>
      <c r="BD42" s="2">
        <f t="shared" si="9"/>
        <v>25511.465537527165</v>
      </c>
      <c r="BE42" s="2">
        <f t="shared" si="9"/>
        <v>38267.198306290746</v>
      </c>
      <c r="BF42" s="2"/>
      <c r="BG42" s="2"/>
      <c r="BH42" s="2">
        <f t="shared" si="10"/>
        <v>25511.465537527165</v>
      </c>
      <c r="BI42" s="2"/>
      <c r="BJ42" s="2">
        <f t="shared" si="11"/>
        <v>38267.198306290746</v>
      </c>
      <c r="BK42" s="2">
        <f t="shared" si="41"/>
        <v>127557.32768763581</v>
      </c>
      <c r="BL42" s="2">
        <f t="shared" si="42"/>
        <v>0</v>
      </c>
      <c r="BM42" s="2"/>
    </row>
    <row r="43" spans="1:65" x14ac:dyDescent="0.25">
      <c r="A43">
        <f t="shared" si="6"/>
        <v>1996</v>
      </c>
      <c r="B43" s="2">
        <f t="shared" si="12"/>
        <v>31348.488852513383</v>
      </c>
      <c r="C43" s="2">
        <f t="shared" si="13"/>
        <v>45020.210791401871</v>
      </c>
      <c r="D43" s="2"/>
      <c r="E43" s="2"/>
      <c r="F43" s="2">
        <f t="shared" si="14"/>
        <v>28118.482200807066</v>
      </c>
      <c r="G43" s="2"/>
      <c r="H43" s="2">
        <f t="shared" si="15"/>
        <v>39637.164005655955</v>
      </c>
      <c r="I43" s="2">
        <f t="shared" si="43"/>
        <v>144124.34585037827</v>
      </c>
      <c r="J43" s="2">
        <f t="shared" si="16"/>
        <v>11701.439769206452</v>
      </c>
      <c r="K43" s="6">
        <f t="shared" si="17"/>
        <v>8.8364166861236007E-2</v>
      </c>
      <c r="L43" s="7">
        <f t="shared" si="18"/>
        <v>1.088364166861236</v>
      </c>
      <c r="N43">
        <f t="shared" si="19"/>
        <v>1996</v>
      </c>
      <c r="O43" s="2">
        <f t="shared" si="20"/>
        <v>4987.2178533744</v>
      </c>
      <c r="P43" s="2"/>
      <c r="Q43" s="2"/>
      <c r="R43">
        <f t="shared" si="21"/>
        <v>1996</v>
      </c>
      <c r="S43" s="2">
        <f t="shared" si="22"/>
        <v>30101.684389169783</v>
      </c>
      <c r="T43" s="2">
        <f t="shared" si="22"/>
        <v>43773.40632805827</v>
      </c>
      <c r="U43" s="2"/>
      <c r="V43" s="2"/>
      <c r="W43" s="2">
        <f t="shared" si="7"/>
        <v>26871.677737463466</v>
      </c>
      <c r="X43" s="2"/>
      <c r="Y43" s="2">
        <f t="shared" si="23"/>
        <v>38390.359542312355</v>
      </c>
      <c r="Z43" s="2">
        <f t="shared" si="24"/>
        <v>139137.12799700387</v>
      </c>
      <c r="AA43" s="2">
        <f t="shared" si="25"/>
        <v>11579.80030936806</v>
      </c>
      <c r="AB43" s="6">
        <f t="shared" si="26"/>
        <v>9.0781145382136247E-2</v>
      </c>
      <c r="AC43" s="7">
        <f t="shared" si="27"/>
        <v>1.0907811453821363</v>
      </c>
      <c r="AD43" s="2">
        <f t="shared" si="28"/>
        <v>0</v>
      </c>
      <c r="AE43" s="2"/>
      <c r="AG43">
        <f t="shared" si="29"/>
        <v>1996</v>
      </c>
      <c r="AH43" s="6">
        <f t="shared" si="5"/>
        <v>0.21634544871314276</v>
      </c>
      <c r="AI43" s="6">
        <f t="shared" si="5"/>
        <v>0.31460622307081737</v>
      </c>
      <c r="AJ43" s="7"/>
      <c r="AK43" s="7"/>
      <c r="AL43" s="6">
        <f t="shared" si="30"/>
        <v>0.19313089269775721</v>
      </c>
      <c r="AM43" s="7"/>
      <c r="AN43" s="6">
        <f t="shared" si="31"/>
        <v>0.27591743551828263</v>
      </c>
      <c r="AO43" s="6">
        <f t="shared" si="32"/>
        <v>1</v>
      </c>
      <c r="AP43" s="7">
        <f t="shared" si="33"/>
        <v>0.72408256448171737</v>
      </c>
      <c r="AQ43" s="7">
        <f t="shared" si="34"/>
        <v>0</v>
      </c>
      <c r="AR43" s="24"/>
      <c r="AS43">
        <f t="shared" si="35"/>
        <v>1996</v>
      </c>
      <c r="AT43" s="1" t="b">
        <f t="shared" si="36"/>
        <v>1</v>
      </c>
      <c r="AU43" s="1" t="b">
        <f t="shared" si="37"/>
        <v>1</v>
      </c>
      <c r="AX43" s="1" t="b">
        <f t="shared" si="8"/>
        <v>1</v>
      </c>
      <c r="AZ43" s="1" t="b">
        <f t="shared" si="38"/>
        <v>1</v>
      </c>
      <c r="BA43" s="1" t="b">
        <f t="shared" si="39"/>
        <v>1</v>
      </c>
      <c r="BC43">
        <f t="shared" si="40"/>
        <v>1996</v>
      </c>
      <c r="BD43" s="2">
        <f t="shared" si="9"/>
        <v>27827.425599400776</v>
      </c>
      <c r="BE43" s="2">
        <f t="shared" si="9"/>
        <v>41741.138399101161</v>
      </c>
      <c r="BF43" s="2"/>
      <c r="BG43" s="2"/>
      <c r="BH43" s="2">
        <f t="shared" si="10"/>
        <v>27827.425599400776</v>
      </c>
      <c r="BI43" s="2"/>
      <c r="BJ43" s="2">
        <f t="shared" si="11"/>
        <v>41741.138399101161</v>
      </c>
      <c r="BK43" s="2">
        <f t="shared" si="41"/>
        <v>139137.12799700387</v>
      </c>
      <c r="BL43" s="2">
        <f t="shared" si="42"/>
        <v>0</v>
      </c>
      <c r="BM43" s="2"/>
    </row>
    <row r="44" spans="1:65" x14ac:dyDescent="0.25">
      <c r="A44">
        <f t="shared" si="6"/>
        <v>1997</v>
      </c>
      <c r="B44" s="2">
        <f t="shared" si="12"/>
        <v>37063.348155841893</v>
      </c>
      <c r="C44" s="2">
        <f t="shared" si="13"/>
        <v>52880.596003669285</v>
      </c>
      <c r="D44" s="2"/>
      <c r="E44" s="2"/>
      <c r="F44" s="2">
        <f t="shared" si="14"/>
        <v>27827.425599400776</v>
      </c>
      <c r="G44" s="2"/>
      <c r="H44" s="2">
        <f t="shared" si="15"/>
        <v>45681.501863976315</v>
      </c>
      <c r="I44" s="2">
        <f t="shared" si="43"/>
        <v>163452.87162288825</v>
      </c>
      <c r="J44" s="2">
        <f t="shared" si="16"/>
        <v>19328.52577250998</v>
      </c>
      <c r="K44" s="6">
        <f t="shared" si="17"/>
        <v>0.13411006765349526</v>
      </c>
      <c r="L44" s="7">
        <f t="shared" si="18"/>
        <v>1.1341100676534952</v>
      </c>
      <c r="N44">
        <f t="shared" si="19"/>
        <v>1997</v>
      </c>
      <c r="O44" s="2">
        <f t="shared" si="20"/>
        <v>5156.7832603891293</v>
      </c>
      <c r="P44" s="2"/>
      <c r="Q44" s="2"/>
      <c r="R44">
        <f t="shared" si="21"/>
        <v>1997</v>
      </c>
      <c r="S44" s="2">
        <f t="shared" si="22"/>
        <v>35774.152340744607</v>
      </c>
      <c r="T44" s="2">
        <f t="shared" si="22"/>
        <v>51591.400188572006</v>
      </c>
      <c r="U44" s="2"/>
      <c r="V44" s="2"/>
      <c r="W44" s="2">
        <f t="shared" si="7"/>
        <v>26538.229784303494</v>
      </c>
      <c r="X44" s="2">
        <f>G44-($O44/4)</f>
        <v>-1289.1958150972823</v>
      </c>
      <c r="Y44" s="2">
        <f t="shared" si="23"/>
        <v>44392.306048879036</v>
      </c>
      <c r="Z44" s="2">
        <f t="shared" si="24"/>
        <v>157006.89254740186</v>
      </c>
      <c r="AA44" s="2">
        <f t="shared" si="25"/>
        <v>17869.764550397987</v>
      </c>
      <c r="AB44" s="6">
        <f t="shared" si="26"/>
        <v>0.12843275413003197</v>
      </c>
      <c r="AC44" s="7">
        <f t="shared" si="27"/>
        <v>1.1284327541300319</v>
      </c>
      <c r="AD44" s="2">
        <f t="shared" si="28"/>
        <v>-1289.1958150972787</v>
      </c>
      <c r="AE44" s="2"/>
      <c r="AG44">
        <f t="shared" si="29"/>
        <v>1997</v>
      </c>
      <c r="AH44" s="6">
        <f t="shared" si="5"/>
        <v>0.22785083992375718</v>
      </c>
      <c r="AI44" s="38">
        <f t="shared" si="5"/>
        <v>0.32859321875309438</v>
      </c>
      <c r="AJ44" s="7"/>
      <c r="AK44" s="7"/>
      <c r="AL44" s="38">
        <f t="shared" si="30"/>
        <v>0.16902589022511449</v>
      </c>
      <c r="AM44" s="7"/>
      <c r="AN44" s="6">
        <f t="shared" si="31"/>
        <v>0.2827411289314995</v>
      </c>
      <c r="AO44" s="6">
        <f t="shared" si="32"/>
        <v>1.0082110778334656</v>
      </c>
      <c r="AP44" s="7">
        <f t="shared" si="33"/>
        <v>0.72546994890196603</v>
      </c>
      <c r="AQ44" s="7">
        <f t="shared" si="34"/>
        <v>0</v>
      </c>
      <c r="AR44" s="24"/>
      <c r="AS44">
        <f t="shared" si="35"/>
        <v>1997</v>
      </c>
      <c r="AT44" s="1" t="b">
        <f t="shared" si="36"/>
        <v>1</v>
      </c>
      <c r="AU44" s="1" t="b">
        <f t="shared" si="37"/>
        <v>1</v>
      </c>
      <c r="AV44" s="1"/>
      <c r="AW44" s="1"/>
      <c r="AX44" s="1" t="b">
        <f t="shared" si="8"/>
        <v>1</v>
      </c>
      <c r="AY44" s="1"/>
      <c r="AZ44" s="1" t="b">
        <f t="shared" si="38"/>
        <v>1</v>
      </c>
      <c r="BA44" s="1" t="b">
        <f t="shared" si="39"/>
        <v>1</v>
      </c>
      <c r="BC44">
        <f t="shared" si="40"/>
        <v>1997</v>
      </c>
      <c r="BD44" s="2">
        <f t="shared" si="9"/>
        <v>31401.378509480375</v>
      </c>
      <c r="BE44" s="2">
        <f t="shared" si="9"/>
        <v>47102.067764220556</v>
      </c>
      <c r="BF44" s="2"/>
      <c r="BG44" s="2"/>
      <c r="BH44" s="2"/>
      <c r="BI44" s="2">
        <f t="shared" ref="BI44:BI52" si="44">$BK44*BI$39</f>
        <v>31401.378509480375</v>
      </c>
      <c r="BJ44" s="2">
        <f t="shared" si="11"/>
        <v>47102.067764220556</v>
      </c>
      <c r="BK44" s="2">
        <f t="shared" si="41"/>
        <v>157006.89254740186</v>
      </c>
      <c r="BL44" s="2">
        <f t="shared" si="42"/>
        <v>0</v>
      </c>
      <c r="BM44" s="2"/>
    </row>
    <row r="45" spans="1:65" x14ac:dyDescent="0.25">
      <c r="A45">
        <f t="shared" si="6"/>
        <v>1998</v>
      </c>
      <c r="B45" s="2">
        <f t="shared" si="12"/>
        <v>40401.013590297451</v>
      </c>
      <c r="C45" s="2">
        <f t="shared" si="13"/>
        <v>51036.503484565903</v>
      </c>
      <c r="D45" s="2"/>
      <c r="E45" s="2"/>
      <c r="F45" s="2"/>
      <c r="G45" s="2">
        <f>BH44*(1+(G9/100))</f>
        <v>0</v>
      </c>
      <c r="H45" s="2">
        <f t="shared" si="15"/>
        <v>51143.42517839068</v>
      </c>
      <c r="I45" s="2">
        <f t="shared" si="43"/>
        <v>142580.94225325403</v>
      </c>
      <c r="J45" s="2">
        <f t="shared" si="16"/>
        <v>-20871.929369634221</v>
      </c>
      <c r="K45" s="6">
        <f t="shared" si="17"/>
        <v>-0.12769386773325755</v>
      </c>
      <c r="L45" s="7">
        <f t="shared" si="18"/>
        <v>0.87230613226674247</v>
      </c>
      <c r="N45">
        <f t="shared" si="19"/>
        <v>1998</v>
      </c>
      <c r="O45" s="2">
        <f t="shared" si="20"/>
        <v>5244.4485758157443</v>
      </c>
      <c r="P45" s="2"/>
      <c r="Q45" s="2"/>
      <c r="R45">
        <f t="shared" si="21"/>
        <v>1998</v>
      </c>
      <c r="S45" s="2">
        <f t="shared" si="22"/>
        <v>39089.901446343516</v>
      </c>
      <c r="T45" s="2">
        <f t="shared" si="22"/>
        <v>49725.391340611968</v>
      </c>
      <c r="U45" s="2"/>
      <c r="V45" s="2"/>
      <c r="W45" s="2"/>
      <c r="X45" s="2">
        <f>G45-($O45/4)</f>
        <v>-1311.1121439539361</v>
      </c>
      <c r="Y45" s="2">
        <f t="shared" si="23"/>
        <v>49832.313034436746</v>
      </c>
      <c r="Z45" s="2">
        <f t="shared" si="24"/>
        <v>137336.49367743829</v>
      </c>
      <c r="AA45" s="2">
        <f t="shared" si="25"/>
        <v>-19670.398869963567</v>
      </c>
      <c r="AB45" s="6">
        <f t="shared" si="26"/>
        <v>-0.12528366462653789</v>
      </c>
      <c r="AC45" s="7">
        <f t="shared" si="27"/>
        <v>0.87471633537346216</v>
      </c>
      <c r="AD45" s="2">
        <f t="shared" si="28"/>
        <v>0</v>
      </c>
      <c r="AE45" s="2"/>
      <c r="AG45">
        <f t="shared" si="29"/>
        <v>1998</v>
      </c>
      <c r="AH45" s="6">
        <f t="shared" si="5"/>
        <v>0.28462865477076921</v>
      </c>
      <c r="AI45" s="6">
        <f t="shared" si="5"/>
        <v>0.36206976025907439</v>
      </c>
      <c r="AJ45" s="7"/>
      <c r="AK45" s="7"/>
      <c r="AL45" s="6">
        <f t="shared" si="30"/>
        <v>0</v>
      </c>
      <c r="AM45" s="7"/>
      <c r="AN45" s="6">
        <f t="shared" si="31"/>
        <v>0.36284829836618454</v>
      </c>
      <c r="AO45" s="6">
        <f t="shared" si="32"/>
        <v>1.0095467133960281</v>
      </c>
      <c r="AP45" s="7">
        <f t="shared" si="33"/>
        <v>0.6466984150298436</v>
      </c>
      <c r="AQ45" s="7">
        <f t="shared" si="34"/>
        <v>0</v>
      </c>
      <c r="AR45" s="24"/>
      <c r="AS45">
        <f t="shared" si="35"/>
        <v>1998</v>
      </c>
      <c r="AT45" s="1" t="b">
        <f t="shared" si="36"/>
        <v>0</v>
      </c>
      <c r="AU45" s="1" t="b">
        <f t="shared" si="37"/>
        <v>0</v>
      </c>
      <c r="AV45" s="1"/>
      <c r="AW45" s="1"/>
      <c r="AX45" s="1" t="b">
        <f t="shared" si="8"/>
        <v>0</v>
      </c>
      <c r="AY45" s="1"/>
      <c r="AZ45" s="1" t="b">
        <f t="shared" si="38"/>
        <v>0</v>
      </c>
      <c r="BA45" s="1" t="b">
        <f t="shared" si="39"/>
        <v>1</v>
      </c>
      <c r="BC45">
        <f t="shared" si="40"/>
        <v>1998</v>
      </c>
      <c r="BD45" s="2">
        <f t="shared" si="9"/>
        <v>27467.29873548766</v>
      </c>
      <c r="BE45" s="2">
        <f t="shared" si="9"/>
        <v>41200.948103231487</v>
      </c>
      <c r="BF45" s="2"/>
      <c r="BG45" s="2"/>
      <c r="BH45" s="2"/>
      <c r="BI45" s="2">
        <f t="shared" si="44"/>
        <v>27467.29873548766</v>
      </c>
      <c r="BJ45" s="2">
        <f t="shared" si="11"/>
        <v>41200.948103231487</v>
      </c>
      <c r="BK45" s="2">
        <f t="shared" si="41"/>
        <v>137336.49367743829</v>
      </c>
      <c r="BL45" s="2">
        <f t="shared" si="42"/>
        <v>0</v>
      </c>
      <c r="BM45" s="2"/>
    </row>
    <row r="46" spans="1:65" x14ac:dyDescent="0.25">
      <c r="A46">
        <f t="shared" si="6"/>
        <v>1999</v>
      </c>
      <c r="B46" s="2">
        <f t="shared" si="12"/>
        <v>33254.658579054914</v>
      </c>
      <c r="C46" s="2">
        <f t="shared" si="13"/>
        <v>41200.948103231487</v>
      </c>
      <c r="D46" s="2"/>
      <c r="E46" s="2"/>
      <c r="F46" s="2"/>
      <c r="G46" s="2">
        <f t="shared" ref="G46:G64" si="45">BI45*(1+(G10/100))</f>
        <v>35685.239844158219</v>
      </c>
      <c r="H46" s="2">
        <f t="shared" si="15"/>
        <v>40887.820897646925</v>
      </c>
      <c r="I46" s="2">
        <f t="shared" si="43"/>
        <v>151028.66742409155</v>
      </c>
      <c r="J46" s="2">
        <f t="shared" si="16"/>
        <v>8447.7251708375115</v>
      </c>
      <c r="K46" s="6">
        <f t="shared" si="17"/>
        <v>5.9248627743198369E-2</v>
      </c>
      <c r="L46" s="7">
        <f t="shared" si="18"/>
        <v>1.0592486277431983</v>
      </c>
      <c r="N46">
        <f t="shared" si="19"/>
        <v>1999</v>
      </c>
      <c r="O46" s="2">
        <f t="shared" si="20"/>
        <v>5328.3597530287961</v>
      </c>
      <c r="P46" s="2"/>
      <c r="Q46" s="2"/>
      <c r="R46">
        <f t="shared" si="21"/>
        <v>1999</v>
      </c>
      <c r="S46" s="2">
        <f t="shared" si="22"/>
        <v>31922.568640797715</v>
      </c>
      <c r="T46" s="2"/>
      <c r="U46" s="2">
        <f>D46-($O46/5)</f>
        <v>-1065.6719506057593</v>
      </c>
      <c r="V46" s="2">
        <f>E46-($O46/5)</f>
        <v>-1065.6719506057593</v>
      </c>
      <c r="W46" s="2"/>
      <c r="X46" s="2">
        <f>G46-($O46/4)</f>
        <v>34353.149905901017</v>
      </c>
      <c r="Y46" s="2">
        <f t="shared" si="23"/>
        <v>39555.730959389723</v>
      </c>
      <c r="Z46" s="2">
        <f t="shared" si="24"/>
        <v>103700.10560487694</v>
      </c>
      <c r="AA46" s="2">
        <f t="shared" si="25"/>
        <v>-33636.388072561356</v>
      </c>
      <c r="AB46" s="6">
        <f t="shared" si="26"/>
        <v>-0.24491951972767714</v>
      </c>
      <c r="AC46" s="7">
        <f t="shared" si="27"/>
        <v>0.75508048027232288</v>
      </c>
      <c r="AD46" s="2">
        <f t="shared" si="28"/>
        <v>-42000.202066185797</v>
      </c>
      <c r="AE46" s="2"/>
      <c r="AG46">
        <f t="shared" si="29"/>
        <v>1999</v>
      </c>
      <c r="AH46" s="6">
        <f t="shared" si="5"/>
        <v>0.30783544968054904</v>
      </c>
      <c r="AI46" s="6">
        <f t="shared" si="5"/>
        <v>0</v>
      </c>
      <c r="AJ46" s="7"/>
      <c r="AK46" s="7"/>
      <c r="AL46" s="6">
        <f t="shared" si="30"/>
        <v>0</v>
      </c>
      <c r="AM46" s="7"/>
      <c r="AN46" s="6">
        <f t="shared" si="31"/>
        <v>0.38144349736833294</v>
      </c>
      <c r="AO46" s="6">
        <f t="shared" si="32"/>
        <v>0.68927894704888204</v>
      </c>
      <c r="AP46" s="7">
        <f t="shared" si="33"/>
        <v>0.30783544968054904</v>
      </c>
      <c r="AQ46" s="7">
        <f t="shared" si="34"/>
        <v>0</v>
      </c>
      <c r="AR46" s="24"/>
      <c r="AS46">
        <f t="shared" si="35"/>
        <v>1999</v>
      </c>
      <c r="AT46" s="1" t="b">
        <f t="shared" si="36"/>
        <v>0</v>
      </c>
      <c r="AU46" s="1" t="b">
        <f t="shared" si="37"/>
        <v>0</v>
      </c>
      <c r="AV46" s="1"/>
      <c r="AW46" s="1"/>
      <c r="AX46" s="1" t="b">
        <f t="shared" si="8"/>
        <v>0</v>
      </c>
      <c r="AY46" s="1"/>
      <c r="AZ46" s="1" t="b">
        <f t="shared" si="38"/>
        <v>0</v>
      </c>
      <c r="BA46" s="1" t="b">
        <f t="shared" si="39"/>
        <v>1</v>
      </c>
      <c r="BC46">
        <f t="shared" si="40"/>
        <v>1999</v>
      </c>
      <c r="BD46" s="2">
        <f t="shared" si="9"/>
        <v>20740.021120975391</v>
      </c>
      <c r="BE46" s="2"/>
      <c r="BF46" s="2">
        <f t="shared" ref="BF46:BG64" si="46">$BK46*BF$39</f>
        <v>20740.021120975391</v>
      </c>
      <c r="BG46" s="2">
        <f t="shared" si="46"/>
        <v>10370.010560487695</v>
      </c>
      <c r="BH46" s="2"/>
      <c r="BI46" s="2">
        <f t="shared" si="44"/>
        <v>20740.021120975391</v>
      </c>
      <c r="BJ46" s="2">
        <f t="shared" si="11"/>
        <v>31110.031681463079</v>
      </c>
      <c r="BK46" s="2">
        <f t="shared" si="41"/>
        <v>103700.10560487694</v>
      </c>
      <c r="BL46" s="2">
        <f t="shared" si="42"/>
        <v>0</v>
      </c>
      <c r="BM46" s="2"/>
    </row>
    <row r="47" spans="1:65" x14ac:dyDescent="0.25">
      <c r="A47">
        <f t="shared" si="6"/>
        <v>2000</v>
      </c>
      <c r="B47" s="2">
        <f t="shared" si="12"/>
        <v>18860.97520741502</v>
      </c>
      <c r="C47" s="2"/>
      <c r="D47" s="2">
        <f>($BE46*0.67)*(1+(D11/100))</f>
        <v>0</v>
      </c>
      <c r="E47" s="2">
        <f>($BE46*0.33)*(1+(E11/100))</f>
        <v>0</v>
      </c>
      <c r="F47" s="2"/>
      <c r="G47" s="2">
        <f t="shared" si="45"/>
        <v>17501.674223146296</v>
      </c>
      <c r="H47" s="2">
        <f t="shared" si="15"/>
        <v>34653.464289981726</v>
      </c>
      <c r="I47" s="2">
        <f t="shared" si="43"/>
        <v>71016.113720543042</v>
      </c>
      <c r="J47" s="2">
        <f t="shared" si="16"/>
        <v>-80012.553703548503</v>
      </c>
      <c r="K47" s="6">
        <f t="shared" si="17"/>
        <v>-0.52978388188297809</v>
      </c>
      <c r="L47" s="7">
        <f t="shared" si="18"/>
        <v>0.47021611811702191</v>
      </c>
      <c r="N47">
        <f t="shared" si="19"/>
        <v>2000</v>
      </c>
      <c r="O47" s="2">
        <f t="shared" si="20"/>
        <v>5472.2254663605736</v>
      </c>
      <c r="P47" s="2"/>
      <c r="Q47" s="2"/>
      <c r="R47">
        <f t="shared" si="21"/>
        <v>2000</v>
      </c>
      <c r="S47" s="2">
        <f t="shared" ref="S47:S50" si="47">B47-($O47/5)</f>
        <v>17766.530114142904</v>
      </c>
      <c r="T47" s="2"/>
      <c r="U47" s="2">
        <f t="shared" ref="U47" si="48">D47-($O47/5)</f>
        <v>-1094.4450932721147</v>
      </c>
      <c r="V47" s="2">
        <f t="shared" ref="V47" si="49">E47-($O47/5)</f>
        <v>-1094.4450932721147</v>
      </c>
      <c r="W47" s="2"/>
      <c r="X47" s="2">
        <f>G47-($O47/5)</f>
        <v>16407.22912987418</v>
      </c>
      <c r="Y47" s="2">
        <f t="shared" ref="Y47:Y50" si="50">H47-($O47/5)</f>
        <v>33559.019196709611</v>
      </c>
      <c r="Z47" s="2">
        <f t="shared" si="24"/>
        <v>65543.888254182471</v>
      </c>
      <c r="AA47" s="2">
        <f t="shared" si="25"/>
        <v>-38156.217350694467</v>
      </c>
      <c r="AB47" s="6">
        <f t="shared" si="26"/>
        <v>-0.36794771932131964</v>
      </c>
      <c r="AC47" s="7">
        <f t="shared" si="27"/>
        <v>0.63205228067868036</v>
      </c>
      <c r="AD47" s="2">
        <f t="shared" si="28"/>
        <v>0</v>
      </c>
      <c r="AE47" s="2"/>
      <c r="AG47">
        <f t="shared" si="29"/>
        <v>2000</v>
      </c>
      <c r="AH47" s="6">
        <f t="shared" si="5"/>
        <v>0.2710631088171549</v>
      </c>
      <c r="AI47" s="6">
        <f t="shared" si="5"/>
        <v>0</v>
      </c>
      <c r="AJ47" s="7"/>
      <c r="AK47" s="7"/>
      <c r="AL47" s="6">
        <f t="shared" si="30"/>
        <v>0</v>
      </c>
      <c r="AM47" s="7"/>
      <c r="AN47" s="6">
        <f t="shared" si="31"/>
        <v>0.51200836707407493</v>
      </c>
      <c r="AO47" s="6">
        <f t="shared" si="32"/>
        <v>0.78307147589122983</v>
      </c>
      <c r="AP47" s="7">
        <f t="shared" si="33"/>
        <v>0.2710631088171549</v>
      </c>
      <c r="AQ47" s="7">
        <f t="shared" si="34"/>
        <v>0</v>
      </c>
      <c r="AR47" s="24"/>
      <c r="AS47">
        <f t="shared" si="35"/>
        <v>2000</v>
      </c>
      <c r="AT47" s="1" t="b">
        <f t="shared" si="36"/>
        <v>0</v>
      </c>
      <c r="AU47" s="1" t="b">
        <f t="shared" si="37"/>
        <v>0</v>
      </c>
      <c r="AV47" s="1"/>
      <c r="AW47" s="1"/>
      <c r="AX47" s="1" t="b">
        <f t="shared" si="8"/>
        <v>0</v>
      </c>
      <c r="AY47" s="1"/>
      <c r="AZ47" s="1" t="b">
        <f t="shared" si="38"/>
        <v>0</v>
      </c>
      <c r="BA47" s="1" t="b">
        <f t="shared" si="39"/>
        <v>1</v>
      </c>
      <c r="BC47">
        <f t="shared" si="40"/>
        <v>2000</v>
      </c>
      <c r="BD47" s="2">
        <f t="shared" si="9"/>
        <v>13108.777650836495</v>
      </c>
      <c r="BE47" s="2"/>
      <c r="BF47" s="2">
        <f t="shared" si="46"/>
        <v>13108.777650836495</v>
      </c>
      <c r="BG47" s="2">
        <f t="shared" si="46"/>
        <v>6554.3888254182475</v>
      </c>
      <c r="BH47" s="2"/>
      <c r="BI47" s="2">
        <f t="shared" si="44"/>
        <v>13108.777650836495</v>
      </c>
      <c r="BJ47" s="2">
        <f t="shared" si="11"/>
        <v>19663.166476254741</v>
      </c>
      <c r="BK47" s="2">
        <f t="shared" si="41"/>
        <v>65543.888254182471</v>
      </c>
      <c r="BL47" s="2">
        <f t="shared" si="42"/>
        <v>0</v>
      </c>
      <c r="BM47" s="2"/>
    </row>
    <row r="48" spans="1:65" x14ac:dyDescent="0.25">
      <c r="A48">
        <f t="shared" si="6"/>
        <v>2001</v>
      </c>
      <c r="B48" s="2">
        <f t="shared" si="12"/>
        <v>11533.102577205949</v>
      </c>
      <c r="C48" s="2"/>
      <c r="D48" s="2">
        <f t="shared" ref="D48:D49" si="51">BF47*(1+(D12/100))</f>
        <v>13108.777650836495</v>
      </c>
      <c r="E48" s="2">
        <f t="shared" ref="E48:E49" si="52">BG47*(1+(E12/100))</f>
        <v>6554.3888254182475</v>
      </c>
      <c r="F48" s="2"/>
      <c r="G48" s="2">
        <f t="shared" si="45"/>
        <v>10466.965690863417</v>
      </c>
      <c r="H48" s="2">
        <f t="shared" si="15"/>
        <v>21320.771410203015</v>
      </c>
      <c r="I48" s="2">
        <f t="shared" si="43"/>
        <v>62984.006154527116</v>
      </c>
      <c r="J48" s="2">
        <f t="shared" si="16"/>
        <v>-8032.1075660159258</v>
      </c>
      <c r="K48" s="6">
        <f t="shared" si="17"/>
        <v>-0.11310260651016804</v>
      </c>
      <c r="L48" s="7">
        <f t="shared" si="18"/>
        <v>0.88689739348983199</v>
      </c>
      <c r="N48">
        <f t="shared" si="19"/>
        <v>2001</v>
      </c>
      <c r="O48" s="2">
        <f t="shared" si="20"/>
        <v>5658.2811322168336</v>
      </c>
      <c r="P48" s="2"/>
      <c r="Q48" s="2"/>
      <c r="R48">
        <f t="shared" si="21"/>
        <v>2001</v>
      </c>
      <c r="S48" s="2">
        <f t="shared" si="47"/>
        <v>10401.446350762582</v>
      </c>
      <c r="T48" s="2"/>
      <c r="U48" s="2">
        <f t="shared" ref="U48:U49" si="53">D48-($O48/5)</f>
        <v>11977.121424393128</v>
      </c>
      <c r="V48" s="2">
        <f t="shared" ref="V48:V49" si="54">E48-($O48/5)</f>
        <v>5422.7325989748806</v>
      </c>
      <c r="W48" s="2"/>
      <c r="X48" s="2">
        <f>G48-($O48/5)</f>
        <v>9335.3094644200501</v>
      </c>
      <c r="Y48" s="2">
        <f t="shared" si="50"/>
        <v>20189.115183759648</v>
      </c>
      <c r="Z48" s="2">
        <f t="shared" si="24"/>
        <v>57325.725022310282</v>
      </c>
      <c r="AA48" s="2">
        <f t="shared" si="25"/>
        <v>-8218.1632318721895</v>
      </c>
      <c r="AB48" s="6">
        <f t="shared" si="26"/>
        <v>-0.12538412734993296</v>
      </c>
      <c r="AC48" s="7">
        <f t="shared" si="27"/>
        <v>0.87461587265006702</v>
      </c>
      <c r="AD48" s="2">
        <f t="shared" si="28"/>
        <v>0</v>
      </c>
      <c r="AE48" s="2"/>
      <c r="AG48">
        <f t="shared" si="29"/>
        <v>2001</v>
      </c>
      <c r="AH48" s="6">
        <f t="shared" si="5"/>
        <v>0.18144465415334043</v>
      </c>
      <c r="AI48" s="6">
        <f t="shared" si="5"/>
        <v>0</v>
      </c>
      <c r="AJ48" s="7"/>
      <c r="AK48" s="7"/>
      <c r="AL48" s="6">
        <f t="shared" si="30"/>
        <v>0</v>
      </c>
      <c r="AM48" s="6"/>
      <c r="AN48" s="38">
        <f t="shared" si="31"/>
        <v>0.3521824656539862</v>
      </c>
      <c r="AO48" s="6">
        <f t="shared" si="32"/>
        <v>0.53362711980732658</v>
      </c>
      <c r="AP48" s="7">
        <f t="shared" si="33"/>
        <v>0.18144465415334043</v>
      </c>
      <c r="AQ48" s="7">
        <f t="shared" si="34"/>
        <v>0</v>
      </c>
      <c r="AR48" s="24"/>
      <c r="AS48">
        <f t="shared" si="35"/>
        <v>2001</v>
      </c>
      <c r="AT48" s="1" t="b">
        <f t="shared" si="36"/>
        <v>1</v>
      </c>
      <c r="AU48" s="1" t="b">
        <f t="shared" si="37"/>
        <v>0</v>
      </c>
      <c r="AV48" s="1"/>
      <c r="AW48" s="1"/>
      <c r="AX48" s="1" t="b">
        <f t="shared" si="8"/>
        <v>0</v>
      </c>
      <c r="AY48" s="1"/>
      <c r="AZ48" s="1" t="b">
        <f t="shared" si="38"/>
        <v>0</v>
      </c>
      <c r="BA48" s="1" t="b">
        <f t="shared" si="39"/>
        <v>1</v>
      </c>
      <c r="BC48">
        <f t="shared" si="40"/>
        <v>2001</v>
      </c>
      <c r="BD48" s="2">
        <f t="shared" si="9"/>
        <v>11465.145004462058</v>
      </c>
      <c r="BE48" s="2"/>
      <c r="BF48" s="2">
        <f t="shared" si="46"/>
        <v>11465.145004462058</v>
      </c>
      <c r="BG48" s="2">
        <f t="shared" si="46"/>
        <v>5732.5725022310289</v>
      </c>
      <c r="BH48" s="2"/>
      <c r="BI48" s="2">
        <f t="shared" si="44"/>
        <v>11465.145004462058</v>
      </c>
      <c r="BJ48" s="2">
        <f t="shared" si="11"/>
        <v>17197.717506693083</v>
      </c>
      <c r="BK48" s="2">
        <f t="shared" si="41"/>
        <v>57325.725022310282</v>
      </c>
      <c r="BL48" s="2">
        <f t="shared" si="42"/>
        <v>0</v>
      </c>
      <c r="BM48" s="2"/>
    </row>
    <row r="49" spans="1:65" x14ac:dyDescent="0.25">
      <c r="A49">
        <f t="shared" si="6"/>
        <v>2002</v>
      </c>
      <c r="B49" s="2">
        <f t="shared" si="12"/>
        <v>8925.6153859737115</v>
      </c>
      <c r="C49" s="2"/>
      <c r="D49" s="2">
        <f t="shared" si="51"/>
        <v>11465.145004462058</v>
      </c>
      <c r="E49" s="2">
        <f t="shared" si="52"/>
        <v>5732.5725022310289</v>
      </c>
      <c r="F49" s="2"/>
      <c r="G49" s="2">
        <f t="shared" si="45"/>
        <v>9735.8571834390459</v>
      </c>
      <c r="H49" s="2">
        <f t="shared" si="15"/>
        <v>18618.248972745932</v>
      </c>
      <c r="I49" s="2">
        <f t="shared" si="43"/>
        <v>54477.439048851775</v>
      </c>
      <c r="J49" s="2">
        <f t="shared" si="16"/>
        <v>-8506.5671056753417</v>
      </c>
      <c r="K49" s="6">
        <f t="shared" si="17"/>
        <v>-0.13505916223882361</v>
      </c>
      <c r="L49" s="7">
        <f t="shared" si="18"/>
        <v>0.86494083776117636</v>
      </c>
      <c r="N49">
        <f t="shared" si="19"/>
        <v>2002</v>
      </c>
      <c r="O49" s="2">
        <f t="shared" si="20"/>
        <v>5748.8136303323026</v>
      </c>
      <c r="P49" s="2"/>
      <c r="Q49" s="2"/>
      <c r="R49">
        <f t="shared" si="21"/>
        <v>2002</v>
      </c>
      <c r="S49" s="2">
        <f t="shared" si="47"/>
        <v>7775.8526599072511</v>
      </c>
      <c r="T49" s="2"/>
      <c r="U49" s="2">
        <f t="shared" si="53"/>
        <v>10315.382278395597</v>
      </c>
      <c r="V49" s="2">
        <f t="shared" si="54"/>
        <v>4582.8097761645686</v>
      </c>
      <c r="W49" s="2"/>
      <c r="X49" s="2">
        <f>G49-($O49/5)</f>
        <v>8586.0944573725847</v>
      </c>
      <c r="Y49" s="2">
        <f t="shared" si="50"/>
        <v>17468.486246679473</v>
      </c>
      <c r="Z49" s="2">
        <f t="shared" si="24"/>
        <v>48728.625418519478</v>
      </c>
      <c r="AA49" s="2">
        <f t="shared" si="25"/>
        <v>-8597.0996037908044</v>
      </c>
      <c r="AB49" s="6">
        <f t="shared" si="26"/>
        <v>-0.14996931308666303</v>
      </c>
      <c r="AC49" s="7">
        <f t="shared" si="27"/>
        <v>0.85003068691333694</v>
      </c>
      <c r="AD49" s="2">
        <f t="shared" si="28"/>
        <v>0</v>
      </c>
      <c r="AE49" s="2"/>
      <c r="AG49">
        <f t="shared" si="29"/>
        <v>2002</v>
      </c>
      <c r="AH49" s="6">
        <f t="shared" si="5"/>
        <v>0.15957463591722848</v>
      </c>
      <c r="AI49" s="6">
        <f t="shared" si="5"/>
        <v>0</v>
      </c>
      <c r="AJ49" s="7"/>
      <c r="AK49" s="7"/>
      <c r="AL49" s="6"/>
      <c r="AM49" s="6">
        <f t="shared" si="30"/>
        <v>0.17620227091629412</v>
      </c>
      <c r="AN49" s="6">
        <f t="shared" si="31"/>
        <v>0.35848510186048704</v>
      </c>
      <c r="AO49" s="6">
        <f t="shared" si="32"/>
        <v>0.69426200869400967</v>
      </c>
      <c r="AP49" s="7">
        <f t="shared" si="33"/>
        <v>0.33577690683352257</v>
      </c>
      <c r="AQ49" s="7">
        <f t="shared" si="34"/>
        <v>0</v>
      </c>
      <c r="AR49" s="24"/>
      <c r="AS49">
        <f t="shared" si="35"/>
        <v>2002</v>
      </c>
      <c r="AT49" s="1" t="b">
        <f t="shared" si="36"/>
        <v>1</v>
      </c>
      <c r="AU49" s="1" t="b">
        <f t="shared" si="37"/>
        <v>0</v>
      </c>
      <c r="AV49" s="1"/>
      <c r="AW49" s="1"/>
      <c r="AX49" s="1"/>
      <c r="AY49" s="1" t="b">
        <f t="shared" ref="AY49:AY64" si="55">AND((X49/$Z49)&gt;0.15,(X49/$Z49)&lt;0.25)</f>
        <v>1</v>
      </c>
      <c r="AZ49" s="1" t="b">
        <f t="shared" si="38"/>
        <v>0</v>
      </c>
      <c r="BA49" s="1" t="b">
        <f t="shared" si="39"/>
        <v>1</v>
      </c>
      <c r="BC49">
        <f t="shared" si="40"/>
        <v>2002</v>
      </c>
      <c r="BD49" s="2">
        <f t="shared" si="9"/>
        <v>9745.7250837038955</v>
      </c>
      <c r="BE49" s="2"/>
      <c r="BF49" s="2">
        <f t="shared" si="46"/>
        <v>9745.7250837038955</v>
      </c>
      <c r="BG49" s="2">
        <f t="shared" si="46"/>
        <v>4872.8625418519478</v>
      </c>
      <c r="BH49" s="2"/>
      <c r="BI49" s="2">
        <f t="shared" si="44"/>
        <v>9745.7250837038955</v>
      </c>
      <c r="BJ49" s="2">
        <f t="shared" si="11"/>
        <v>14618.587625555843</v>
      </c>
      <c r="BK49" s="2">
        <f t="shared" si="41"/>
        <v>48728.625418519478</v>
      </c>
      <c r="BL49" s="2">
        <f t="shared" si="42"/>
        <v>0</v>
      </c>
      <c r="BM49" s="2"/>
    </row>
    <row r="50" spans="1:65" x14ac:dyDescent="0.25">
      <c r="A50">
        <f t="shared" si="6"/>
        <v>2003</v>
      </c>
      <c r="B50" s="2">
        <f t="shared" si="12"/>
        <v>12523.256732559505</v>
      </c>
      <c r="C50" s="2"/>
      <c r="D50" s="2">
        <f t="shared" ref="D50:D51" si="56">BF49*(1+(D14/100))</f>
        <v>13073.11054178208</v>
      </c>
      <c r="E50" s="2">
        <f t="shared" ref="E50:E51" si="57">BG49*(1+(E14/100))</f>
        <v>7096.2522624481544</v>
      </c>
      <c r="F50" s="2"/>
      <c r="G50" s="2">
        <f t="shared" si="45"/>
        <v>13677.150582470047</v>
      </c>
      <c r="H50" s="2">
        <f t="shared" si="15"/>
        <v>15198.945554290411</v>
      </c>
      <c r="I50" s="2">
        <f t="shared" si="43"/>
        <v>61568.715673550199</v>
      </c>
      <c r="J50" s="2">
        <f t="shared" si="16"/>
        <v>7091.2766246984247</v>
      </c>
      <c r="K50" s="6">
        <f t="shared" si="17"/>
        <v>0.13016905251987773</v>
      </c>
      <c r="L50" s="7">
        <f t="shared" si="18"/>
        <v>1.1301690525198778</v>
      </c>
      <c r="N50">
        <f t="shared" si="19"/>
        <v>2003</v>
      </c>
      <c r="O50" s="2">
        <f t="shared" si="20"/>
        <v>5892.5339710906101</v>
      </c>
      <c r="P50" s="2"/>
      <c r="Q50" s="2"/>
      <c r="R50">
        <f t="shared" si="21"/>
        <v>2003</v>
      </c>
      <c r="S50" s="2">
        <f t="shared" si="47"/>
        <v>11344.749938341383</v>
      </c>
      <c r="T50" s="2"/>
      <c r="U50" s="2">
        <f t="shared" ref="U50:U51" si="58">D50-($O50/5)</f>
        <v>11894.603747563959</v>
      </c>
      <c r="V50" s="2">
        <f t="shared" ref="V50:V51" si="59">E50-($O50/5)</f>
        <v>5917.7454682300322</v>
      </c>
      <c r="W50" s="2"/>
      <c r="X50" s="2">
        <f>G50-($O50/5)</f>
        <v>12498.643788251926</v>
      </c>
      <c r="Y50" s="2">
        <f t="shared" si="50"/>
        <v>14020.438760072289</v>
      </c>
      <c r="Z50" s="2">
        <f t="shared" si="24"/>
        <v>55676.181702459588</v>
      </c>
      <c r="AA50" s="2">
        <f t="shared" si="25"/>
        <v>6947.55628394011</v>
      </c>
      <c r="AB50" s="6">
        <f t="shared" si="26"/>
        <v>0.14257648813749768</v>
      </c>
      <c r="AC50" s="7">
        <f t="shared" si="27"/>
        <v>1.1425764881374976</v>
      </c>
      <c r="AD50" s="2">
        <f t="shared" si="28"/>
        <v>0</v>
      </c>
      <c r="AE50" s="2"/>
      <c r="AG50">
        <f t="shared" si="29"/>
        <v>2003</v>
      </c>
      <c r="AH50" s="38">
        <f t="shared" si="5"/>
        <v>0.2037630741089454</v>
      </c>
      <c r="AI50" s="6">
        <f t="shared" si="5"/>
        <v>0</v>
      </c>
      <c r="AJ50" s="7"/>
      <c r="AK50" s="7"/>
      <c r="AL50" s="7"/>
      <c r="AM50" s="6">
        <f t="shared" si="30"/>
        <v>0.22448816362886065</v>
      </c>
      <c r="AN50" s="6">
        <f t="shared" si="31"/>
        <v>0.25182112586310695</v>
      </c>
      <c r="AO50" s="6">
        <f t="shared" si="32"/>
        <v>0.68007236360091294</v>
      </c>
      <c r="AP50" s="7">
        <f t="shared" si="33"/>
        <v>0.42825123773780605</v>
      </c>
      <c r="AQ50" s="7">
        <f t="shared" si="34"/>
        <v>0</v>
      </c>
      <c r="AR50" s="24"/>
      <c r="AS50">
        <f t="shared" si="35"/>
        <v>2003</v>
      </c>
      <c r="AT50" s="1" t="b">
        <f t="shared" si="36"/>
        <v>1</v>
      </c>
      <c r="AU50" s="1" t="b">
        <f t="shared" si="37"/>
        <v>0</v>
      </c>
      <c r="AV50" s="1"/>
      <c r="AW50" s="1"/>
      <c r="AX50" s="1"/>
      <c r="AY50" s="1" t="b">
        <f t="shared" si="55"/>
        <v>1</v>
      </c>
      <c r="AZ50" s="1" t="b">
        <f t="shared" si="38"/>
        <v>1</v>
      </c>
      <c r="BA50" s="1" t="b">
        <f t="shared" si="39"/>
        <v>1</v>
      </c>
      <c r="BC50">
        <f t="shared" si="40"/>
        <v>2003</v>
      </c>
      <c r="BD50" s="2">
        <f t="shared" si="9"/>
        <v>11135.236340491918</v>
      </c>
      <c r="BE50" s="2"/>
      <c r="BF50" s="2">
        <f t="shared" si="46"/>
        <v>11135.236340491918</v>
      </c>
      <c r="BG50" s="2">
        <f t="shared" si="46"/>
        <v>5567.6181702459589</v>
      </c>
      <c r="BH50" s="2"/>
      <c r="BI50" s="2">
        <f t="shared" si="44"/>
        <v>11135.236340491918</v>
      </c>
      <c r="BJ50" s="2">
        <f t="shared" si="11"/>
        <v>16702.854510737874</v>
      </c>
      <c r="BK50" s="2">
        <f t="shared" si="41"/>
        <v>55676.181702459588</v>
      </c>
      <c r="BL50" s="2">
        <f t="shared" si="42"/>
        <v>0</v>
      </c>
      <c r="BM50" s="2"/>
    </row>
    <row r="51" spans="1:65" x14ac:dyDescent="0.25">
      <c r="A51">
        <f t="shared" si="6"/>
        <v>2004</v>
      </c>
      <c r="B51" s="2">
        <f t="shared" ref="B51:B64" si="60">BD50*(1+(B15/100))</f>
        <v>12331.160723460749</v>
      </c>
      <c r="C51" s="2"/>
      <c r="D51" s="2">
        <f t="shared" si="56"/>
        <v>13401.590992872238</v>
      </c>
      <c r="E51" s="2">
        <f t="shared" si="57"/>
        <v>6675.407157579798</v>
      </c>
      <c r="F51" s="2"/>
      <c r="G51" s="2">
        <f t="shared" si="45"/>
        <v>13455.485536760218</v>
      </c>
      <c r="H51" s="2">
        <f t="shared" si="15"/>
        <v>17411.055541993159</v>
      </c>
      <c r="I51" s="2">
        <f t="shared" si="43"/>
        <v>63274.699952666168</v>
      </c>
      <c r="J51" s="2">
        <f t="shared" si="16"/>
        <v>1705.9842791159681</v>
      </c>
      <c r="K51" s="6">
        <f t="shared" si="17"/>
        <v>2.7708622154170671E-2</v>
      </c>
      <c r="L51" s="7">
        <f t="shared" si="18"/>
        <v>1.0277086221541707</v>
      </c>
      <c r="N51">
        <f t="shared" si="19"/>
        <v>2004</v>
      </c>
      <c r="O51" s="2">
        <f t="shared" si="20"/>
        <v>6010.384650512422</v>
      </c>
      <c r="P51" s="2"/>
      <c r="Q51" s="2"/>
      <c r="R51">
        <f t="shared" si="21"/>
        <v>2004</v>
      </c>
      <c r="S51" s="2">
        <f>B51-($O51/5)</f>
        <v>11129.083793358264</v>
      </c>
      <c r="T51" s="2"/>
      <c r="U51" s="2">
        <f t="shared" si="58"/>
        <v>12199.514062769753</v>
      </c>
      <c r="V51" s="2">
        <f t="shared" si="59"/>
        <v>5473.3302274773141</v>
      </c>
      <c r="W51" s="2"/>
      <c r="X51" s="2">
        <f>G51-($O51/5)</f>
        <v>12253.408606657733</v>
      </c>
      <c r="Y51" s="2">
        <f>H51-($O51/5)</f>
        <v>16208.978611890674</v>
      </c>
      <c r="Z51" s="2">
        <f t="shared" si="24"/>
        <v>57264.315302153744</v>
      </c>
      <c r="AA51" s="2">
        <f t="shared" si="25"/>
        <v>1588.1335996941561</v>
      </c>
      <c r="AB51" s="6">
        <f t="shared" si="26"/>
        <v>2.8524470449165118E-2</v>
      </c>
      <c r="AC51" s="7">
        <f t="shared" si="27"/>
        <v>1.0285244704491652</v>
      </c>
      <c r="AD51" s="2">
        <f t="shared" si="28"/>
        <v>0</v>
      </c>
      <c r="AE51" s="2"/>
      <c r="AG51">
        <f t="shared" si="29"/>
        <v>2004</v>
      </c>
      <c r="AH51" s="6">
        <f t="shared" si="5"/>
        <v>0.1943458807572557</v>
      </c>
      <c r="AI51" s="7"/>
      <c r="AJ51" s="6">
        <f t="shared" ref="AJ51:AK64" si="61">U51/$Z51</f>
        <v>0.2130386785976453</v>
      </c>
      <c r="AK51" s="6">
        <f t="shared" si="61"/>
        <v>9.5580121731962092E-2</v>
      </c>
      <c r="AL51" s="7"/>
      <c r="AM51" s="6">
        <f t="shared" si="30"/>
        <v>0.21397983267595055</v>
      </c>
      <c r="AN51" s="6">
        <f t="shared" si="31"/>
        <v>0.28305548623718629</v>
      </c>
      <c r="AO51" s="6">
        <f t="shared" si="32"/>
        <v>1</v>
      </c>
      <c r="AP51" s="7">
        <f t="shared" si="33"/>
        <v>0.71694451376281365</v>
      </c>
      <c r="AQ51" s="7">
        <f t="shared" si="34"/>
        <v>0</v>
      </c>
      <c r="AR51" s="24"/>
      <c r="AS51">
        <f t="shared" si="35"/>
        <v>2004</v>
      </c>
      <c r="AT51" s="1" t="b">
        <f t="shared" si="36"/>
        <v>1</v>
      </c>
      <c r="AU51" s="1"/>
      <c r="AV51" s="1" t="b">
        <f>AND((U51/$Z51)&gt;0.15,(U51/$Z51)&lt;0.25)</f>
        <v>1</v>
      </c>
      <c r="AW51" s="1" t="b">
        <f>AND((V51/$Z51)&gt;0.05,(V51/$Z51)&lt;0.15)</f>
        <v>1</v>
      </c>
      <c r="AX51" s="1"/>
      <c r="AY51" s="1" t="b">
        <f t="shared" si="55"/>
        <v>1</v>
      </c>
      <c r="AZ51" s="1" t="b">
        <f t="shared" si="38"/>
        <v>1</v>
      </c>
      <c r="BA51" s="1" t="b">
        <f t="shared" si="39"/>
        <v>1</v>
      </c>
      <c r="BC51">
        <f t="shared" si="40"/>
        <v>2004</v>
      </c>
      <c r="BD51" s="2">
        <f>$BK51*BD$39</f>
        <v>11452.863060430749</v>
      </c>
      <c r="BE51" s="2"/>
      <c r="BF51" s="2">
        <f t="shared" si="46"/>
        <v>11452.863060430749</v>
      </c>
      <c r="BG51" s="2">
        <f t="shared" si="46"/>
        <v>5726.4315302153746</v>
      </c>
      <c r="BH51" s="2"/>
      <c r="BI51" s="2">
        <f t="shared" si="44"/>
        <v>11452.863060430749</v>
      </c>
      <c r="BJ51" s="2">
        <f t="shared" si="11"/>
        <v>17179.294590646121</v>
      </c>
      <c r="BK51" s="2">
        <f t="shared" si="41"/>
        <v>57264.315302153744</v>
      </c>
      <c r="BL51" s="2">
        <f t="shared" si="42"/>
        <v>0</v>
      </c>
      <c r="BM51" s="2"/>
    </row>
    <row r="52" spans="1:65" x14ac:dyDescent="0.25">
      <c r="A52">
        <f t="shared" si="6"/>
        <v>2005</v>
      </c>
      <c r="B52" s="2">
        <f t="shared" si="60"/>
        <v>11999.164628413297</v>
      </c>
      <c r="C52" s="2"/>
      <c r="D52" s="2">
        <f t="shared" ref="D52:D64" si="62">BF51*(1+(D16/100))</f>
        <v>13048.361413379358</v>
      </c>
      <c r="E52" s="2">
        <f t="shared" ref="E52:E64" si="63">BG51*(1+(E16/100))</f>
        <v>6148.0686837851326</v>
      </c>
      <c r="F52" s="2"/>
      <c r="G52" s="2">
        <f t="shared" si="45"/>
        <v>13236.188367570421</v>
      </c>
      <c r="H52" s="2">
        <f t="shared" si="15"/>
        <v>17591.59766082163</v>
      </c>
      <c r="I52" s="2">
        <f t="shared" si="43"/>
        <v>62023.380753969839</v>
      </c>
      <c r="J52" s="2">
        <f t="shared" si="16"/>
        <v>-1251.3191986963284</v>
      </c>
      <c r="K52" s="6">
        <f t="shared" si="17"/>
        <v>-1.977597996722863E-2</v>
      </c>
      <c r="L52" s="7">
        <f t="shared" si="18"/>
        <v>0.98022402003277143</v>
      </c>
      <c r="N52">
        <f t="shared" si="19"/>
        <v>2005</v>
      </c>
      <c r="O52" s="2">
        <f t="shared" si="20"/>
        <v>6208.7273439793316</v>
      </c>
      <c r="P52" s="2"/>
      <c r="Q52" s="2"/>
      <c r="R52">
        <f t="shared" si="21"/>
        <v>2005</v>
      </c>
      <c r="S52" s="2">
        <f t="shared" ref="S52:S64" si="64">B52-($O52/5)</f>
        <v>10757.41915961743</v>
      </c>
      <c r="T52" s="2"/>
      <c r="U52" s="2">
        <f t="shared" ref="U52:V64" si="65">D52-($O52/5)</f>
        <v>11806.615944583491</v>
      </c>
      <c r="V52" s="2">
        <f t="shared" si="65"/>
        <v>4906.3232149892665</v>
      </c>
      <c r="W52" s="2"/>
      <c r="X52" s="2">
        <f t="shared" ref="X52:Y64" si="66">G52-($O52/5)</f>
        <v>11994.442898774554</v>
      </c>
      <c r="Y52" s="2">
        <f t="shared" si="66"/>
        <v>16349.852192025763</v>
      </c>
      <c r="Z52" s="2">
        <f t="shared" si="24"/>
        <v>55814.653409990504</v>
      </c>
      <c r="AA52" s="2">
        <f t="shared" si="25"/>
        <v>-1449.6618921632398</v>
      </c>
      <c r="AB52" s="6">
        <f t="shared" si="26"/>
        <v>-2.5315275045447321E-2</v>
      </c>
      <c r="AC52" s="7">
        <f t="shared" si="27"/>
        <v>0.97468472495455272</v>
      </c>
      <c r="AD52" s="2">
        <f t="shared" si="28"/>
        <v>0</v>
      </c>
      <c r="AE52" s="2"/>
      <c r="AG52">
        <f t="shared" si="29"/>
        <v>2005</v>
      </c>
      <c r="AH52" s="6">
        <f t="shared" si="5"/>
        <v>0.19273467633307767</v>
      </c>
      <c r="AI52" s="7"/>
      <c r="AJ52" s="6">
        <f t="shared" si="61"/>
        <v>0.21153254966679008</v>
      </c>
      <c r="AK52" s="6">
        <f t="shared" si="61"/>
        <v>8.79038552644862E-2</v>
      </c>
      <c r="AL52" s="7"/>
      <c r="AM52" s="6">
        <f t="shared" si="30"/>
        <v>0.21489774039567211</v>
      </c>
      <c r="AN52" s="6">
        <f t="shared" si="31"/>
        <v>0.29293117833997395</v>
      </c>
      <c r="AO52" s="6">
        <f t="shared" si="32"/>
        <v>1</v>
      </c>
      <c r="AP52" s="7">
        <f t="shared" si="33"/>
        <v>0.70706882166002605</v>
      </c>
      <c r="AQ52" s="7">
        <f t="shared" si="34"/>
        <v>0</v>
      </c>
      <c r="AR52" s="24"/>
      <c r="AS52">
        <f t="shared" si="35"/>
        <v>2005</v>
      </c>
      <c r="AT52" s="1" t="b">
        <f t="shared" si="36"/>
        <v>1</v>
      </c>
      <c r="AU52" s="1"/>
      <c r="AV52" s="1" t="b">
        <f t="shared" ref="AV52:AV64" si="67">AND((U52/$Z52)&gt;0.15,(U52/$Z52)&lt;0.25)</f>
        <v>1</v>
      </c>
      <c r="AW52" s="1" t="b">
        <f t="shared" ref="AW52:AW64" si="68">AND((V52/$Z52)&gt;0.05,(V52/$Z52)&lt;0.15)</f>
        <v>1</v>
      </c>
      <c r="AX52" s="1"/>
      <c r="AY52" s="1" t="b">
        <f t="shared" si="55"/>
        <v>1</v>
      </c>
      <c r="AZ52" s="1" t="b">
        <f t="shared" si="38"/>
        <v>1</v>
      </c>
      <c r="BA52" s="1" t="b">
        <f t="shared" si="39"/>
        <v>1</v>
      </c>
      <c r="BC52">
        <f t="shared" si="40"/>
        <v>2005</v>
      </c>
      <c r="BD52" s="2">
        <f>$BK52*BD$39</f>
        <v>11162.930681998101</v>
      </c>
      <c r="BE52" s="2"/>
      <c r="BF52" s="2">
        <f t="shared" si="46"/>
        <v>11162.930681998101</v>
      </c>
      <c r="BG52" s="2">
        <f t="shared" si="46"/>
        <v>5581.4653409990506</v>
      </c>
      <c r="BH52" s="2"/>
      <c r="BI52" s="2">
        <f t="shared" si="44"/>
        <v>11162.930681998101</v>
      </c>
      <c r="BJ52" s="2">
        <f t="shared" si="11"/>
        <v>16744.396022997149</v>
      </c>
      <c r="BK52" s="2">
        <f t="shared" si="41"/>
        <v>55814.653409990504</v>
      </c>
      <c r="BL52" s="2">
        <f t="shared" si="42"/>
        <v>0</v>
      </c>
      <c r="BM52" s="2"/>
    </row>
    <row r="53" spans="1:65" x14ac:dyDescent="0.25">
      <c r="A53">
        <f t="shared" si="6"/>
        <v>2006</v>
      </c>
      <c r="B53" s="2">
        <f t="shared" si="60"/>
        <v>12908.813040662606</v>
      </c>
      <c r="C53" s="2"/>
      <c r="D53" s="2">
        <f t="shared" si="62"/>
        <v>12680.754366829382</v>
      </c>
      <c r="E53" s="2">
        <f t="shared" si="63"/>
        <v>6455.2995547858618</v>
      </c>
      <c r="F53" s="2"/>
      <c r="G53" s="2">
        <f t="shared" si="45"/>
        <v>14136.400527761934</v>
      </c>
      <c r="H53" s="2">
        <f t="shared" si="15"/>
        <v>17459.381733179125</v>
      </c>
      <c r="I53" s="2">
        <f t="shared" si="43"/>
        <v>63640.649223218905</v>
      </c>
      <c r="J53" s="2">
        <f t="shared" si="16"/>
        <v>1617.2684692490657</v>
      </c>
      <c r="K53" s="6">
        <f t="shared" si="17"/>
        <v>2.6075142141385958E-2</v>
      </c>
      <c r="L53" s="7">
        <f t="shared" si="18"/>
        <v>1.0260751421413861</v>
      </c>
      <c r="N53">
        <f t="shared" si="19"/>
        <v>2006</v>
      </c>
      <c r="O53" s="2">
        <f t="shared" si="20"/>
        <v>6413.6153463306491</v>
      </c>
      <c r="P53" s="2"/>
      <c r="Q53" s="2"/>
      <c r="R53">
        <f t="shared" si="21"/>
        <v>2006</v>
      </c>
      <c r="S53" s="2">
        <f t="shared" si="64"/>
        <v>11626.089971396475</v>
      </c>
      <c r="T53" s="2"/>
      <c r="U53" s="2">
        <f t="shared" si="65"/>
        <v>11398.031297563251</v>
      </c>
      <c r="V53" s="2">
        <f t="shared" si="65"/>
        <v>5172.5764855197322</v>
      </c>
      <c r="W53" s="2"/>
      <c r="X53" s="2">
        <f t="shared" si="66"/>
        <v>12853.677458495804</v>
      </c>
      <c r="Y53" s="2">
        <f t="shared" si="66"/>
        <v>16176.658663912995</v>
      </c>
      <c r="Z53" s="2">
        <f t="shared" si="24"/>
        <v>57227.033876888258</v>
      </c>
      <c r="AA53" s="2">
        <f t="shared" si="25"/>
        <v>1412.3804668977536</v>
      </c>
      <c r="AB53" s="6">
        <f t="shared" si="26"/>
        <v>2.530483270267778E-2</v>
      </c>
      <c r="AC53" s="7">
        <f t="shared" si="27"/>
        <v>1.0253048327026777</v>
      </c>
      <c r="AD53" s="2">
        <f t="shared" si="28"/>
        <v>0</v>
      </c>
      <c r="AE53" s="2"/>
      <c r="AG53">
        <f t="shared" si="29"/>
        <v>2006</v>
      </c>
      <c r="AH53" s="6">
        <f t="shared" si="5"/>
        <v>0.20315730492703021</v>
      </c>
      <c r="AI53" s="7"/>
      <c r="AJ53" s="6">
        <f t="shared" si="61"/>
        <v>0.19917214864016336</v>
      </c>
      <c r="AK53" s="6">
        <f t="shared" si="61"/>
        <v>9.0386940141741853E-2</v>
      </c>
      <c r="AL53" s="7"/>
      <c r="AM53" s="6">
        <f t="shared" si="30"/>
        <v>0.22460848636935729</v>
      </c>
      <c r="AN53" s="59">
        <f t="shared" si="31"/>
        <v>0.2826751199217073</v>
      </c>
      <c r="AO53" s="6">
        <f t="shared" si="32"/>
        <v>1</v>
      </c>
      <c r="AP53" s="7">
        <f t="shared" si="33"/>
        <v>0.71732488007829276</v>
      </c>
      <c r="AQ53" s="7">
        <f t="shared" si="34"/>
        <v>0</v>
      </c>
      <c r="AR53" s="24"/>
      <c r="AS53">
        <f t="shared" si="35"/>
        <v>2006</v>
      </c>
      <c r="AT53" s="1" t="b">
        <f t="shared" si="36"/>
        <v>1</v>
      </c>
      <c r="AU53" s="1"/>
      <c r="AV53" s="1" t="b">
        <f t="shared" si="67"/>
        <v>1</v>
      </c>
      <c r="AW53" s="1" t="b">
        <f t="shared" si="68"/>
        <v>1</v>
      </c>
      <c r="AX53" s="1"/>
      <c r="AY53" s="1" t="b">
        <f t="shared" si="55"/>
        <v>1</v>
      </c>
      <c r="AZ53" s="1" t="b">
        <f t="shared" si="38"/>
        <v>1</v>
      </c>
      <c r="BA53" s="1" t="b">
        <f t="shared" si="39"/>
        <v>1</v>
      </c>
      <c r="BC53">
        <f t="shared" si="40"/>
        <v>2006</v>
      </c>
      <c r="BD53" s="2">
        <f t="shared" ref="BD53:BD64" si="69">$BK53*BD$39</f>
        <v>11445.406775377653</v>
      </c>
      <c r="BE53" s="2"/>
      <c r="BF53" s="2">
        <f t="shared" si="46"/>
        <v>11445.406775377653</v>
      </c>
      <c r="BG53" s="2">
        <f t="shared" si="46"/>
        <v>5722.7033876888263</v>
      </c>
      <c r="BH53" s="2"/>
      <c r="BI53" s="2">
        <f t="shared" ref="BI53:BI64" si="70">$BK53*BI$39</f>
        <v>11445.406775377653</v>
      </c>
      <c r="BJ53" s="2">
        <f t="shared" si="11"/>
        <v>17168.110163066478</v>
      </c>
      <c r="BK53" s="2">
        <f t="shared" si="41"/>
        <v>57227.033876888258</v>
      </c>
      <c r="BL53" s="2">
        <f t="shared" si="42"/>
        <v>0</v>
      </c>
      <c r="BM53" s="2"/>
    </row>
    <row r="54" spans="1:65" x14ac:dyDescent="0.25">
      <c r="A54">
        <f t="shared" si="6"/>
        <v>2007</v>
      </c>
      <c r="B54" s="2">
        <f t="shared" si="60"/>
        <v>12062.314200570509</v>
      </c>
      <c r="C54" s="2"/>
      <c r="D54" s="2">
        <f t="shared" si="62"/>
        <v>12134.534717323142</v>
      </c>
      <c r="E54" s="2">
        <f t="shared" si="63"/>
        <v>5788.8578388505093</v>
      </c>
      <c r="F54" s="2"/>
      <c r="G54" s="2">
        <f t="shared" si="45"/>
        <v>13221.962815051771</v>
      </c>
      <c r="H54" s="2">
        <f t="shared" si="15"/>
        <v>18356.143386350675</v>
      </c>
      <c r="I54" s="2">
        <f t="shared" si="43"/>
        <v>61563.812958146606</v>
      </c>
      <c r="J54" s="2">
        <f t="shared" si="16"/>
        <v>-2076.8362650722993</v>
      </c>
      <c r="K54" s="6">
        <f t="shared" si="17"/>
        <v>-3.2633800729904842E-2</v>
      </c>
      <c r="L54" s="7">
        <f t="shared" si="18"/>
        <v>0.96736619927009515</v>
      </c>
      <c r="N54">
        <f t="shared" si="19"/>
        <v>2007</v>
      </c>
      <c r="O54" s="2">
        <f t="shared" si="20"/>
        <v>6573.9557299889148</v>
      </c>
      <c r="P54" s="2"/>
      <c r="Q54" s="2"/>
      <c r="R54">
        <f t="shared" si="21"/>
        <v>2007</v>
      </c>
      <c r="S54" s="2">
        <f t="shared" si="64"/>
        <v>10747.523054572726</v>
      </c>
      <c r="T54" s="2"/>
      <c r="U54" s="2">
        <f t="shared" si="65"/>
        <v>10819.74357132536</v>
      </c>
      <c r="V54" s="2">
        <f t="shared" si="65"/>
        <v>4474.0666928527262</v>
      </c>
      <c r="W54" s="2"/>
      <c r="X54" s="2">
        <f t="shared" si="66"/>
        <v>11907.171669053989</v>
      </c>
      <c r="Y54" s="2">
        <f t="shared" si="66"/>
        <v>17041.352240352891</v>
      </c>
      <c r="Z54" s="2">
        <f t="shared" si="24"/>
        <v>54989.857228157693</v>
      </c>
      <c r="AA54" s="2">
        <f t="shared" si="25"/>
        <v>-2237.1766487305649</v>
      </c>
      <c r="AB54" s="6">
        <f t="shared" si="26"/>
        <v>-3.9093003728681318E-2</v>
      </c>
      <c r="AC54" s="7">
        <f t="shared" si="27"/>
        <v>0.9609069962713187</v>
      </c>
      <c r="AD54" s="2">
        <f t="shared" si="28"/>
        <v>0</v>
      </c>
      <c r="AE54" s="2"/>
      <c r="AG54">
        <f t="shared" si="29"/>
        <v>2007</v>
      </c>
      <c r="AH54" s="6">
        <f t="shared" si="5"/>
        <v>0.19544555298589555</v>
      </c>
      <c r="AI54" s="7"/>
      <c r="AJ54" s="6">
        <f t="shared" si="61"/>
        <v>0.1967588954892773</v>
      </c>
      <c r="AK54" s="6">
        <f t="shared" si="61"/>
        <v>8.1361671376767447E-2</v>
      </c>
      <c r="AL54" s="7"/>
      <c r="AM54" s="38">
        <f t="shared" si="30"/>
        <v>0.21653396224780325</v>
      </c>
      <c r="AN54" s="38">
        <f t="shared" si="31"/>
        <v>0.30989991790025645</v>
      </c>
      <c r="AO54" s="6">
        <f t="shared" si="32"/>
        <v>1</v>
      </c>
      <c r="AP54" s="7">
        <f t="shared" si="33"/>
        <v>0.69010008209974361</v>
      </c>
      <c r="AQ54" s="7">
        <f t="shared" si="34"/>
        <v>0</v>
      </c>
      <c r="AR54" s="24"/>
      <c r="AS54">
        <f t="shared" si="35"/>
        <v>2007</v>
      </c>
      <c r="AT54" s="1" t="b">
        <f t="shared" si="36"/>
        <v>1</v>
      </c>
      <c r="AU54" s="1"/>
      <c r="AV54" s="1" t="b">
        <f t="shared" si="67"/>
        <v>1</v>
      </c>
      <c r="AW54" s="1" t="b">
        <f t="shared" si="68"/>
        <v>1</v>
      </c>
      <c r="AX54" s="1"/>
      <c r="AY54" s="1" t="b">
        <f t="shared" si="55"/>
        <v>1</v>
      </c>
      <c r="AZ54" s="39" t="b">
        <f t="shared" si="38"/>
        <v>1</v>
      </c>
      <c r="BA54" s="1" t="b">
        <f t="shared" si="39"/>
        <v>1</v>
      </c>
      <c r="BC54">
        <f t="shared" si="40"/>
        <v>2007</v>
      </c>
      <c r="BD54" s="2">
        <f t="shared" si="69"/>
        <v>10997.97144563154</v>
      </c>
      <c r="BE54" s="2"/>
      <c r="BF54" s="2">
        <f t="shared" si="46"/>
        <v>10997.97144563154</v>
      </c>
      <c r="BG54" s="2">
        <f t="shared" si="46"/>
        <v>5498.9857228157698</v>
      </c>
      <c r="BH54" s="2"/>
      <c r="BI54" s="2">
        <f t="shared" si="70"/>
        <v>10997.97144563154</v>
      </c>
      <c r="BJ54" s="2">
        <f t="shared" si="11"/>
        <v>16496.957168447309</v>
      </c>
      <c r="BK54" s="2">
        <f t="shared" si="41"/>
        <v>54989.857228157693</v>
      </c>
      <c r="BL54" s="2">
        <f t="shared" si="42"/>
        <v>0</v>
      </c>
      <c r="BM54" s="2"/>
    </row>
    <row r="55" spans="1:65" x14ac:dyDescent="0.25">
      <c r="A55">
        <f t="shared" si="6"/>
        <v>2008</v>
      </c>
      <c r="B55" s="2">
        <f t="shared" si="60"/>
        <v>6926.5224164587426</v>
      </c>
      <c r="C55" s="2"/>
      <c r="D55" s="2">
        <f t="shared" si="62"/>
        <v>6398.1798682106055</v>
      </c>
      <c r="E55" s="2">
        <f t="shared" si="63"/>
        <v>3515.5015725961216</v>
      </c>
      <c r="F55" s="2"/>
      <c r="G55" s="2">
        <f t="shared" si="45"/>
        <v>6147.7560583935738</v>
      </c>
      <c r="H55" s="2">
        <f t="shared" si="15"/>
        <v>17330.053505453896</v>
      </c>
      <c r="I55" s="2">
        <f t="shared" si="43"/>
        <v>40318.013421112933</v>
      </c>
      <c r="J55" s="2">
        <f t="shared" si="16"/>
        <v>-21245.799537033672</v>
      </c>
      <c r="K55" s="6">
        <f t="shared" si="17"/>
        <v>-0.34510207402971232</v>
      </c>
      <c r="L55" s="7">
        <f t="shared" si="18"/>
        <v>0.65489792597028762</v>
      </c>
      <c r="N55">
        <f t="shared" si="19"/>
        <v>2008</v>
      </c>
      <c r="O55" s="2">
        <f t="shared" si="20"/>
        <v>6843.4879149184599</v>
      </c>
      <c r="P55" s="2"/>
      <c r="Q55" s="2"/>
      <c r="R55">
        <f t="shared" si="21"/>
        <v>2008</v>
      </c>
      <c r="S55" s="2">
        <f t="shared" si="64"/>
        <v>5557.8248334750506</v>
      </c>
      <c r="T55" s="2"/>
      <c r="U55" s="2">
        <f t="shared" si="65"/>
        <v>5029.4822852269135</v>
      </c>
      <c r="V55" s="2">
        <f t="shared" si="65"/>
        <v>2146.8039896124296</v>
      </c>
      <c r="W55" s="2"/>
      <c r="X55" s="2">
        <f t="shared" si="66"/>
        <v>4779.0584754098818</v>
      </c>
      <c r="Y55" s="2">
        <f t="shared" si="66"/>
        <v>15961.355922470204</v>
      </c>
      <c r="Z55" s="2">
        <f t="shared" si="24"/>
        <v>33474.525506194477</v>
      </c>
      <c r="AA55" s="2">
        <f t="shared" si="25"/>
        <v>-21515.331721963215</v>
      </c>
      <c r="AB55" s="6">
        <f t="shared" si="26"/>
        <v>-0.3912600033255994</v>
      </c>
      <c r="AC55" s="7">
        <f t="shared" si="27"/>
        <v>0.6087399966744006</v>
      </c>
      <c r="AD55" s="2">
        <f t="shared" si="28"/>
        <v>0</v>
      </c>
      <c r="AE55" s="2"/>
      <c r="AG55">
        <f t="shared" si="29"/>
        <v>2008</v>
      </c>
      <c r="AH55" s="6">
        <f t="shared" ref="AH55:AH64" si="71">S55/$Z55</f>
        <v>0.16603147466411652</v>
      </c>
      <c r="AI55" s="7"/>
      <c r="AJ55" s="6">
        <f t="shared" si="61"/>
        <v>0.15024805308431349</v>
      </c>
      <c r="AK55" s="6">
        <f t="shared" si="61"/>
        <v>6.4132469606332801E-2</v>
      </c>
      <c r="AL55" s="7"/>
      <c r="AM55" s="6">
        <f t="shared" si="30"/>
        <v>0.14276702666108038</v>
      </c>
      <c r="AN55" s="38">
        <f t="shared" si="31"/>
        <v>0.4768209759841569</v>
      </c>
      <c r="AO55" s="6">
        <f t="shared" si="32"/>
        <v>1</v>
      </c>
      <c r="AP55" s="7">
        <f t="shared" si="33"/>
        <v>0.52317902401584315</v>
      </c>
      <c r="AQ55" s="7">
        <f t="shared" si="34"/>
        <v>0</v>
      </c>
      <c r="AR55" s="24"/>
      <c r="AS55">
        <f t="shared" si="35"/>
        <v>2008</v>
      </c>
      <c r="AT55" s="1" t="b">
        <f t="shared" si="36"/>
        <v>1</v>
      </c>
      <c r="AV55" s="1" t="b">
        <f t="shared" si="67"/>
        <v>1</v>
      </c>
      <c r="AW55" s="1" t="b">
        <f t="shared" si="68"/>
        <v>1</v>
      </c>
      <c r="AY55" s="1" t="b">
        <f t="shared" si="55"/>
        <v>0</v>
      </c>
      <c r="AZ55" s="39" t="b">
        <f t="shared" si="38"/>
        <v>0</v>
      </c>
      <c r="BA55" s="1" t="b">
        <f t="shared" si="39"/>
        <v>1</v>
      </c>
      <c r="BC55">
        <f t="shared" si="40"/>
        <v>2008</v>
      </c>
      <c r="BD55" s="2">
        <f t="shared" si="69"/>
        <v>6694.9051012388954</v>
      </c>
      <c r="BE55" s="2"/>
      <c r="BF55" s="2">
        <f t="shared" si="46"/>
        <v>6694.9051012388954</v>
      </c>
      <c r="BG55" s="2">
        <f t="shared" si="46"/>
        <v>3347.4525506194477</v>
      </c>
      <c r="BH55" s="2"/>
      <c r="BI55" s="2">
        <f t="shared" si="70"/>
        <v>6694.9051012388954</v>
      </c>
      <c r="BJ55" s="2">
        <f t="shared" si="11"/>
        <v>10042.357651858343</v>
      </c>
      <c r="BK55" s="2">
        <f t="shared" si="41"/>
        <v>33474.525506194477</v>
      </c>
      <c r="BL55" s="2">
        <f t="shared" si="42"/>
        <v>0</v>
      </c>
      <c r="BM55" s="2"/>
    </row>
    <row r="56" spans="1:65" x14ac:dyDescent="0.25">
      <c r="A56">
        <f t="shared" si="6"/>
        <v>2009</v>
      </c>
      <c r="B56" s="2">
        <f t="shared" si="60"/>
        <v>8468.3854625570784</v>
      </c>
      <c r="C56" s="2"/>
      <c r="D56" s="2">
        <f t="shared" si="62"/>
        <v>9387.4620348551543</v>
      </c>
      <c r="E56" s="2">
        <f t="shared" si="63"/>
        <v>4556.4854628521798</v>
      </c>
      <c r="F56" s="2"/>
      <c r="G56" s="2">
        <f t="shared" si="45"/>
        <v>9153.7428977709042</v>
      </c>
      <c r="H56" s="2">
        <f t="shared" si="15"/>
        <v>10637.869460613541</v>
      </c>
      <c r="I56" s="2">
        <f t="shared" si="43"/>
        <v>42203.945318648854</v>
      </c>
      <c r="J56" s="2">
        <f>I56-I55</f>
        <v>1885.9318975359201</v>
      </c>
      <c r="K56" s="6">
        <f>(J56/I55)</f>
        <v>4.6776409289757639E-2</v>
      </c>
      <c r="L56" s="7">
        <f t="shared" si="18"/>
        <v>1.0467764092897576</v>
      </c>
      <c r="N56">
        <f t="shared" si="19"/>
        <v>2009</v>
      </c>
      <c r="O56" s="2">
        <f t="shared" si="20"/>
        <v>6843.4879149184599</v>
      </c>
      <c r="P56" s="2"/>
      <c r="Q56" s="2"/>
      <c r="R56">
        <f t="shared" si="21"/>
        <v>2009</v>
      </c>
      <c r="S56" s="2">
        <f t="shared" si="64"/>
        <v>7099.6878795733865</v>
      </c>
      <c r="T56" s="2"/>
      <c r="U56" s="2">
        <f t="shared" si="65"/>
        <v>8018.7644518714624</v>
      </c>
      <c r="V56" s="2">
        <f t="shared" si="65"/>
        <v>3187.7878798684878</v>
      </c>
      <c r="W56" s="2"/>
      <c r="X56" s="2">
        <f t="shared" si="66"/>
        <v>7785.0453147872122</v>
      </c>
      <c r="Y56" s="2">
        <f t="shared" si="66"/>
        <v>9269.1718776298494</v>
      </c>
      <c r="Z56" s="2">
        <f t="shared" si="24"/>
        <v>35360.457403730397</v>
      </c>
      <c r="AA56" s="2">
        <f>Z56-Z55</f>
        <v>1885.9318975359201</v>
      </c>
      <c r="AB56" s="6">
        <f>(AA56/Z55)</f>
        <v>5.6339316809342899E-2</v>
      </c>
      <c r="AC56" s="7">
        <f t="shared" si="27"/>
        <v>1.0563393168093429</v>
      </c>
      <c r="AD56" s="2">
        <f t="shared" si="28"/>
        <v>0</v>
      </c>
      <c r="AE56" s="2"/>
      <c r="AG56">
        <f t="shared" si="29"/>
        <v>2009</v>
      </c>
      <c r="AH56" s="6">
        <f t="shared" si="71"/>
        <v>0.20078043104794216</v>
      </c>
      <c r="AI56" s="7"/>
      <c r="AJ56" s="6">
        <f t="shared" si="61"/>
        <v>0.22677207934039656</v>
      </c>
      <c r="AK56" s="6">
        <f t="shared" si="61"/>
        <v>9.0151206005954776E-2</v>
      </c>
      <c r="AL56" s="7"/>
      <c r="AM56" s="6">
        <f t="shared" si="30"/>
        <v>0.2201624607368885</v>
      </c>
      <c r="AN56" s="6">
        <f t="shared" si="31"/>
        <v>0.26213382286881803</v>
      </c>
      <c r="AO56" s="6">
        <f t="shared" si="32"/>
        <v>1</v>
      </c>
      <c r="AP56" s="7">
        <f t="shared" si="33"/>
        <v>0.73786617713118197</v>
      </c>
      <c r="AQ56" s="7">
        <f t="shared" si="34"/>
        <v>0</v>
      </c>
      <c r="AR56" s="24"/>
      <c r="AS56">
        <f t="shared" si="35"/>
        <v>2009</v>
      </c>
      <c r="AT56" s="1" t="b">
        <f t="shared" si="36"/>
        <v>1</v>
      </c>
      <c r="AV56" s="1" t="b">
        <f t="shared" si="67"/>
        <v>1</v>
      </c>
      <c r="AW56" s="1" t="b">
        <f t="shared" si="68"/>
        <v>1</v>
      </c>
      <c r="AY56" s="1" t="b">
        <f t="shared" si="55"/>
        <v>1</v>
      </c>
      <c r="AZ56" s="1" t="b">
        <f t="shared" si="38"/>
        <v>1</v>
      </c>
      <c r="BA56" s="1" t="b">
        <f t="shared" si="39"/>
        <v>1</v>
      </c>
      <c r="BC56">
        <f t="shared" si="40"/>
        <v>2009</v>
      </c>
      <c r="BD56" s="2">
        <f t="shared" si="69"/>
        <v>7072.0914807460795</v>
      </c>
      <c r="BE56" s="2"/>
      <c r="BF56" s="2">
        <f t="shared" si="46"/>
        <v>7072.0914807460795</v>
      </c>
      <c r="BG56" s="2">
        <f t="shared" si="46"/>
        <v>3536.0457403730397</v>
      </c>
      <c r="BH56" s="2"/>
      <c r="BI56" s="2">
        <f t="shared" si="70"/>
        <v>7072.0914807460795</v>
      </c>
      <c r="BJ56" s="2">
        <f t="shared" si="11"/>
        <v>10608.137221119119</v>
      </c>
      <c r="BK56" s="2">
        <f t="shared" si="41"/>
        <v>35360.457403730397</v>
      </c>
      <c r="BL56" s="2">
        <f t="shared" si="42"/>
        <v>0</v>
      </c>
      <c r="BM56" s="2"/>
    </row>
    <row r="57" spans="1:65" x14ac:dyDescent="0.25">
      <c r="A57">
        <f t="shared" si="6"/>
        <v>2010</v>
      </c>
      <c r="B57" s="2">
        <f t="shared" si="60"/>
        <v>8126.5403205253197</v>
      </c>
      <c r="C57" s="2"/>
      <c r="D57" s="2">
        <f t="shared" si="62"/>
        <v>8872.6459717440302</v>
      </c>
      <c r="E57" s="2">
        <f t="shared" si="63"/>
        <v>4516.237619604447</v>
      </c>
      <c r="F57" s="2"/>
      <c r="G57" s="2">
        <f t="shared" si="45"/>
        <v>7858.508053405043</v>
      </c>
      <c r="H57" s="2">
        <f t="shared" si="15"/>
        <v>11289.179630714967</v>
      </c>
      <c r="I57" s="2">
        <f t="shared" si="43"/>
        <v>40663.111595993803</v>
      </c>
      <c r="J57" s="2">
        <f t="shared" si="16"/>
        <v>-1540.8337226550502</v>
      </c>
      <c r="K57" s="6">
        <f t="shared" si="17"/>
        <v>-3.6509234172810733E-2</v>
      </c>
      <c r="L57" s="7">
        <f t="shared" si="18"/>
        <v>0.96349076582718929</v>
      </c>
      <c r="N57">
        <f t="shared" si="19"/>
        <v>2010</v>
      </c>
      <c r="O57" s="2">
        <f t="shared" si="20"/>
        <v>7035.1055765361771</v>
      </c>
      <c r="P57" s="2"/>
      <c r="Q57" s="2"/>
      <c r="R57">
        <f t="shared" si="21"/>
        <v>2010</v>
      </c>
      <c r="S57" s="2">
        <f t="shared" si="64"/>
        <v>6719.5192052180846</v>
      </c>
      <c r="T57" s="2"/>
      <c r="U57" s="2">
        <f t="shared" si="65"/>
        <v>7465.6248564367943</v>
      </c>
      <c r="V57" s="2">
        <f t="shared" si="65"/>
        <v>3109.2165042972115</v>
      </c>
      <c r="W57" s="2"/>
      <c r="X57" s="2">
        <f t="shared" si="66"/>
        <v>6451.4869380978071</v>
      </c>
      <c r="Y57" s="2">
        <f t="shared" si="66"/>
        <v>9882.1585154077311</v>
      </c>
      <c r="Z57" s="2">
        <f t="shared" si="24"/>
        <v>33628.006019457629</v>
      </c>
      <c r="AA57" s="2">
        <f t="shared" ref="AA57:AA64" si="72">Z57-Z56</f>
        <v>-1732.4513842727683</v>
      </c>
      <c r="AB57" s="6">
        <f t="shared" ref="AB57:AB64" si="73">(AA57/Z56)</f>
        <v>-4.8994032076349815E-2</v>
      </c>
      <c r="AC57" s="7">
        <f t="shared" si="27"/>
        <v>0.95100596792365022</v>
      </c>
      <c r="AD57" s="2">
        <f t="shared" si="28"/>
        <v>0</v>
      </c>
      <c r="AE57" s="2"/>
      <c r="AG57">
        <f t="shared" si="29"/>
        <v>2010</v>
      </c>
      <c r="AH57" s="6">
        <f t="shared" si="71"/>
        <v>0.19981913888471645</v>
      </c>
      <c r="AI57" s="7"/>
      <c r="AJ57" s="6">
        <f t="shared" si="61"/>
        <v>0.22200617105031684</v>
      </c>
      <c r="AK57" s="6">
        <f t="shared" si="61"/>
        <v>9.2459139637901089E-2</v>
      </c>
      <c r="AL57" s="7"/>
      <c r="AM57" s="6">
        <f t="shared" ref="AM57:AM64" si="74">X57/$Z57</f>
        <v>0.19184863159489407</v>
      </c>
      <c r="AN57" s="6">
        <f t="shared" si="31"/>
        <v>0.29386691883217153</v>
      </c>
      <c r="AO57" s="6">
        <f t="shared" si="32"/>
        <v>1</v>
      </c>
      <c r="AP57" s="7">
        <f t="shared" si="33"/>
        <v>0.70613308116782847</v>
      </c>
      <c r="AQ57" s="7">
        <f t="shared" si="34"/>
        <v>0</v>
      </c>
      <c r="AR57" s="24"/>
      <c r="AS57">
        <f t="shared" si="35"/>
        <v>2010</v>
      </c>
      <c r="AT57" s="1" t="b">
        <f t="shared" si="36"/>
        <v>1</v>
      </c>
      <c r="AV57" s="1" t="b">
        <f t="shared" si="67"/>
        <v>1</v>
      </c>
      <c r="AW57" s="1" t="b">
        <f t="shared" si="68"/>
        <v>1</v>
      </c>
      <c r="AY57" s="1" t="b">
        <f t="shared" si="55"/>
        <v>1</v>
      </c>
      <c r="AZ57" s="1" t="b">
        <f t="shared" si="38"/>
        <v>1</v>
      </c>
      <c r="BA57" s="1" t="b">
        <f t="shared" si="39"/>
        <v>1</v>
      </c>
      <c r="BC57">
        <f t="shared" si="40"/>
        <v>2010</v>
      </c>
      <c r="BD57" s="2">
        <f t="shared" si="69"/>
        <v>6725.601203891526</v>
      </c>
      <c r="BE57" s="2"/>
      <c r="BF57" s="2">
        <f t="shared" si="46"/>
        <v>6725.601203891526</v>
      </c>
      <c r="BG57" s="2">
        <f t="shared" si="46"/>
        <v>3362.800601945763</v>
      </c>
      <c r="BH57" s="2"/>
      <c r="BI57" s="2">
        <f t="shared" si="70"/>
        <v>6725.601203891526</v>
      </c>
      <c r="BJ57" s="2">
        <f t="shared" si="11"/>
        <v>10088.401805837288</v>
      </c>
      <c r="BK57" s="2">
        <f t="shared" si="41"/>
        <v>33628.006019457629</v>
      </c>
      <c r="BL57" s="2">
        <f t="shared" si="42"/>
        <v>0</v>
      </c>
      <c r="BM57" s="2"/>
    </row>
    <row r="58" spans="1:65" x14ac:dyDescent="0.25">
      <c r="A58">
        <f t="shared" si="6"/>
        <v>2011</v>
      </c>
      <c r="B58" s="2">
        <f t="shared" si="60"/>
        <v>6858.095547608189</v>
      </c>
      <c r="C58" s="2"/>
      <c r="D58" s="2">
        <f t="shared" si="62"/>
        <v>6583.691018489415</v>
      </c>
      <c r="E58" s="2">
        <f t="shared" si="63"/>
        <v>3268.6421850912816</v>
      </c>
      <c r="F58" s="2"/>
      <c r="G58" s="2">
        <f t="shared" si="45"/>
        <v>5746.3536686049201</v>
      </c>
      <c r="H58" s="2">
        <f t="shared" si="15"/>
        <v>10851.084982358587</v>
      </c>
      <c r="I58" s="2">
        <f t="shared" si="43"/>
        <v>33307.867402152391</v>
      </c>
      <c r="J58" s="2">
        <f t="shared" si="16"/>
        <v>-7355.2441938414122</v>
      </c>
      <c r="K58" s="6">
        <f t="shared" si="17"/>
        <v>-0.18088247320861847</v>
      </c>
      <c r="L58" s="7">
        <f t="shared" si="18"/>
        <v>0.8191175267913815</v>
      </c>
      <c r="N58">
        <f t="shared" si="19"/>
        <v>2011</v>
      </c>
      <c r="O58" s="2">
        <f t="shared" si="20"/>
        <v>7133.5970546076833</v>
      </c>
      <c r="P58" s="2"/>
      <c r="Q58" s="2"/>
      <c r="R58">
        <f t="shared" si="21"/>
        <v>2011</v>
      </c>
      <c r="S58" s="2">
        <f t="shared" si="64"/>
        <v>5431.3761366866529</v>
      </c>
      <c r="T58" s="2"/>
      <c r="U58" s="2">
        <f t="shared" si="65"/>
        <v>5156.9716075678789</v>
      </c>
      <c r="V58" s="2">
        <f t="shared" si="65"/>
        <v>1841.922774169745</v>
      </c>
      <c r="W58" s="2"/>
      <c r="X58" s="2">
        <f t="shared" si="66"/>
        <v>4319.6342576833831</v>
      </c>
      <c r="Y58" s="2">
        <f t="shared" si="66"/>
        <v>9424.3655714370507</v>
      </c>
      <c r="Z58" s="2">
        <f t="shared" si="24"/>
        <v>26174.270347544709</v>
      </c>
      <c r="AA58" s="2">
        <f t="shared" si="72"/>
        <v>-7453.7356719129202</v>
      </c>
      <c r="AB58" s="6">
        <f t="shared" si="73"/>
        <v>-0.2216526209612335</v>
      </c>
      <c r="AC58" s="7">
        <f t="shared" si="27"/>
        <v>0.7783473790387665</v>
      </c>
      <c r="AD58" s="2">
        <f t="shared" si="28"/>
        <v>0</v>
      </c>
      <c r="AE58" s="2"/>
      <c r="AG58">
        <f t="shared" si="29"/>
        <v>2011</v>
      </c>
      <c r="AH58" s="6">
        <f t="shared" si="71"/>
        <v>0.20750821568541436</v>
      </c>
      <c r="AI58" s="7"/>
      <c r="AJ58" s="6">
        <f t="shared" si="61"/>
        <v>0.19702446483103708</v>
      </c>
      <c r="AK58" s="6">
        <f t="shared" si="61"/>
        <v>7.0371504141758343E-2</v>
      </c>
      <c r="AL58" s="7"/>
      <c r="AM58" s="38">
        <f t="shared" si="74"/>
        <v>0.16503360744451806</v>
      </c>
      <c r="AN58" s="38">
        <f t="shared" si="31"/>
        <v>0.36006220789727222</v>
      </c>
      <c r="AO58" s="6">
        <f t="shared" si="32"/>
        <v>1</v>
      </c>
      <c r="AP58" s="7">
        <f t="shared" si="33"/>
        <v>0.63993779210272783</v>
      </c>
      <c r="AQ58" s="7">
        <f t="shared" si="34"/>
        <v>0</v>
      </c>
      <c r="AR58" s="24"/>
      <c r="AS58">
        <f t="shared" si="35"/>
        <v>2011</v>
      </c>
      <c r="AT58" s="1" t="b">
        <f t="shared" si="36"/>
        <v>1</v>
      </c>
      <c r="AV58" s="1" t="b">
        <f t="shared" si="67"/>
        <v>1</v>
      </c>
      <c r="AW58" s="1" t="b">
        <f t="shared" si="68"/>
        <v>1</v>
      </c>
      <c r="AY58" s="1" t="b">
        <f t="shared" si="55"/>
        <v>1</v>
      </c>
      <c r="AZ58" s="1" t="b">
        <f t="shared" si="38"/>
        <v>0</v>
      </c>
      <c r="BA58" s="1" t="b">
        <f t="shared" si="39"/>
        <v>1</v>
      </c>
      <c r="BC58">
        <f t="shared" si="40"/>
        <v>2011</v>
      </c>
      <c r="BD58" s="2">
        <f t="shared" si="69"/>
        <v>5234.8540695089423</v>
      </c>
      <c r="BE58" s="2"/>
      <c r="BF58" s="2">
        <f t="shared" si="46"/>
        <v>5234.8540695089423</v>
      </c>
      <c r="BG58" s="2">
        <f t="shared" si="46"/>
        <v>2617.4270347544712</v>
      </c>
      <c r="BH58" s="2"/>
      <c r="BI58" s="2">
        <f t="shared" si="70"/>
        <v>5234.8540695089423</v>
      </c>
      <c r="BJ58" s="2">
        <f t="shared" si="11"/>
        <v>7852.2811042634121</v>
      </c>
      <c r="BK58" s="2">
        <f t="shared" si="41"/>
        <v>26174.270347544709</v>
      </c>
      <c r="BL58" s="2">
        <f t="shared" si="42"/>
        <v>0</v>
      </c>
      <c r="BM58" s="2"/>
    </row>
    <row r="59" spans="1:65" x14ac:dyDescent="0.25">
      <c r="A59">
        <f t="shared" si="6"/>
        <v>2012</v>
      </c>
      <c r="B59" s="2">
        <f t="shared" si="60"/>
        <v>6063.0079833052569</v>
      </c>
      <c r="C59" s="2"/>
      <c r="D59" s="2">
        <f t="shared" si="62"/>
        <v>6061.9610124913552</v>
      </c>
      <c r="E59" s="2">
        <f t="shared" si="63"/>
        <v>3089.610871824178</v>
      </c>
      <c r="F59" s="2"/>
      <c r="G59" s="2">
        <f t="shared" si="45"/>
        <v>6184.4565977178645</v>
      </c>
      <c r="H59" s="2">
        <f t="shared" si="15"/>
        <v>8170.29848898608</v>
      </c>
      <c r="I59" s="2">
        <f t="shared" si="43"/>
        <v>29569.334954324731</v>
      </c>
      <c r="J59" s="2">
        <f t="shared" si="16"/>
        <v>-3738.5324478276598</v>
      </c>
      <c r="K59" s="6">
        <f t="shared" si="17"/>
        <v>-0.11224172363512146</v>
      </c>
      <c r="L59" s="7">
        <f t="shared" si="18"/>
        <v>0.88775827636487858</v>
      </c>
      <c r="N59">
        <f t="shared" si="19"/>
        <v>2012</v>
      </c>
      <c r="O59" s="2">
        <f t="shared" si="20"/>
        <v>7347.6049662459136</v>
      </c>
      <c r="P59" s="2"/>
      <c r="Q59" s="2"/>
      <c r="R59">
        <f t="shared" si="21"/>
        <v>2012</v>
      </c>
      <c r="S59" s="2">
        <f t="shared" si="64"/>
        <v>4593.4869900560743</v>
      </c>
      <c r="T59" s="2"/>
      <c r="U59" s="2">
        <f t="shared" si="65"/>
        <v>4592.4400192421726</v>
      </c>
      <c r="V59" s="2">
        <f t="shared" si="65"/>
        <v>1620.0898785749953</v>
      </c>
      <c r="W59" s="2"/>
      <c r="X59" s="2">
        <f t="shared" si="66"/>
        <v>4714.935604468682</v>
      </c>
      <c r="Y59" s="2">
        <f t="shared" si="66"/>
        <v>6700.7774957368974</v>
      </c>
      <c r="Z59" s="2">
        <f t="shared" si="24"/>
        <v>22221.729988078823</v>
      </c>
      <c r="AA59" s="2">
        <f t="shared" si="72"/>
        <v>-3952.5403594658856</v>
      </c>
      <c r="AB59" s="6">
        <f t="shared" si="73"/>
        <v>-0.15100861674398713</v>
      </c>
      <c r="AC59" s="7">
        <f t="shared" si="27"/>
        <v>0.84899138325601287</v>
      </c>
      <c r="AD59" s="2">
        <f t="shared" si="28"/>
        <v>0</v>
      </c>
      <c r="AE59" s="2"/>
      <c r="AG59">
        <f t="shared" si="29"/>
        <v>2012</v>
      </c>
      <c r="AH59" s="6">
        <f t="shared" si="71"/>
        <v>0.20671149332299144</v>
      </c>
      <c r="AI59" s="7"/>
      <c r="AJ59" s="6">
        <f t="shared" si="61"/>
        <v>0.2066643785927493</v>
      </c>
      <c r="AK59" s="6">
        <f t="shared" si="61"/>
        <v>7.2905659435341733E-2</v>
      </c>
      <c r="AL59" s="7"/>
      <c r="AM59" s="6">
        <f t="shared" si="74"/>
        <v>0.21217680203107855</v>
      </c>
      <c r="AN59" s="6">
        <f t="shared" si="31"/>
        <v>0.30154166661783888</v>
      </c>
      <c r="AO59" s="6">
        <f t="shared" si="32"/>
        <v>0.99999999999999989</v>
      </c>
      <c r="AP59" s="7">
        <f t="shared" si="33"/>
        <v>0.69845833338216101</v>
      </c>
      <c r="AQ59" s="7">
        <f t="shared" si="34"/>
        <v>0</v>
      </c>
      <c r="AR59" s="24"/>
      <c r="AS59">
        <f t="shared" si="35"/>
        <v>2012</v>
      </c>
      <c r="AT59" s="1" t="b">
        <f t="shared" si="36"/>
        <v>1</v>
      </c>
      <c r="AV59" s="1" t="b">
        <f t="shared" si="67"/>
        <v>1</v>
      </c>
      <c r="AW59" s="1" t="b">
        <f t="shared" si="68"/>
        <v>1</v>
      </c>
      <c r="AY59" s="1" t="b">
        <f t="shared" si="55"/>
        <v>1</v>
      </c>
      <c r="AZ59" s="1" t="b">
        <f t="shared" si="38"/>
        <v>1</v>
      </c>
      <c r="BA59" s="1" t="b">
        <f t="shared" si="39"/>
        <v>1</v>
      </c>
      <c r="BC59">
        <f t="shared" si="40"/>
        <v>2012</v>
      </c>
      <c r="BD59" s="2">
        <f t="shared" si="69"/>
        <v>4444.3459976157646</v>
      </c>
      <c r="BE59" s="2"/>
      <c r="BF59" s="2">
        <f t="shared" si="46"/>
        <v>4444.3459976157646</v>
      </c>
      <c r="BG59" s="2">
        <f t="shared" si="46"/>
        <v>2222.1729988078823</v>
      </c>
      <c r="BH59" s="2"/>
      <c r="BI59" s="2">
        <f t="shared" si="70"/>
        <v>4444.3459976157646</v>
      </c>
      <c r="BJ59" s="2">
        <f t="shared" si="11"/>
        <v>6666.518996423647</v>
      </c>
      <c r="BK59" s="2">
        <f t="shared" si="41"/>
        <v>22221.729988078823</v>
      </c>
      <c r="BL59" s="2">
        <f t="shared" si="42"/>
        <v>0</v>
      </c>
      <c r="BM59" s="2"/>
    </row>
    <row r="60" spans="1:65" x14ac:dyDescent="0.25">
      <c r="A60">
        <f t="shared" si="6"/>
        <v>2013</v>
      </c>
      <c r="B60" s="2">
        <f t="shared" si="60"/>
        <v>5874.5365396485176</v>
      </c>
      <c r="C60" s="2"/>
      <c r="D60" s="2">
        <f t="shared" si="62"/>
        <v>5999.8670967812823</v>
      </c>
      <c r="E60" s="2">
        <f t="shared" si="63"/>
        <v>3058.1544809594075</v>
      </c>
      <c r="F60" s="2"/>
      <c r="G60" s="2">
        <f t="shared" si="45"/>
        <v>5112.7756356571754</v>
      </c>
      <c r="H60" s="2">
        <f t="shared" si="15"/>
        <v>6515.8556671044726</v>
      </c>
      <c r="I60" s="2">
        <f t="shared" si="43"/>
        <v>26561.189420150855</v>
      </c>
      <c r="J60" s="2">
        <f t="shared" si="16"/>
        <v>-3008.1455341738765</v>
      </c>
      <c r="K60" s="6">
        <f t="shared" si="17"/>
        <v>-0.10173193069172877</v>
      </c>
      <c r="L60" s="7">
        <f t="shared" si="18"/>
        <v>0.89826806930827119</v>
      </c>
      <c r="N60">
        <f t="shared" si="19"/>
        <v>2013</v>
      </c>
      <c r="O60" s="2">
        <f t="shared" si="20"/>
        <v>7479.8618556383399</v>
      </c>
      <c r="P60" s="2"/>
      <c r="Q60" s="2"/>
      <c r="R60">
        <f t="shared" si="21"/>
        <v>2013</v>
      </c>
      <c r="S60" s="2">
        <f t="shared" si="64"/>
        <v>4378.5641685208502</v>
      </c>
      <c r="T60" s="2"/>
      <c r="U60" s="2">
        <f t="shared" si="65"/>
        <v>4503.8947256536139</v>
      </c>
      <c r="V60" s="2">
        <f t="shared" si="65"/>
        <v>1562.1821098317396</v>
      </c>
      <c r="W60" s="2"/>
      <c r="X60" s="2">
        <f t="shared" si="66"/>
        <v>3616.8032645295075</v>
      </c>
      <c r="Y60" s="2">
        <f t="shared" si="66"/>
        <v>5019.8832959768042</v>
      </c>
      <c r="Z60" s="2">
        <f t="shared" si="24"/>
        <v>19081.327564512518</v>
      </c>
      <c r="AA60" s="2">
        <f t="shared" si="72"/>
        <v>-3140.4024235663055</v>
      </c>
      <c r="AB60" s="6">
        <f t="shared" si="73"/>
        <v>-0.14132123940174871</v>
      </c>
      <c r="AC60" s="7">
        <f t="shared" si="27"/>
        <v>0.85867876059825132</v>
      </c>
      <c r="AD60" s="2">
        <f t="shared" si="28"/>
        <v>0</v>
      </c>
      <c r="AE60" s="2"/>
      <c r="AG60">
        <f t="shared" si="29"/>
        <v>2013</v>
      </c>
      <c r="AH60" s="6">
        <f t="shared" si="71"/>
        <v>0.22946852904847725</v>
      </c>
      <c r="AI60" s="7"/>
      <c r="AJ60" s="6">
        <f t="shared" si="61"/>
        <v>0.2360367595192886</v>
      </c>
      <c r="AK60" s="6">
        <f t="shared" si="61"/>
        <v>8.1869676234534561E-2</v>
      </c>
      <c r="AL60" s="7"/>
      <c r="AM60" s="6">
        <f t="shared" si="74"/>
        <v>0.18954673108049588</v>
      </c>
      <c r="AN60" s="38">
        <f t="shared" si="31"/>
        <v>0.26307830411720362</v>
      </c>
      <c r="AO60" s="6">
        <f t="shared" si="32"/>
        <v>1</v>
      </c>
      <c r="AP60" s="7">
        <f t="shared" si="33"/>
        <v>0.73692169588279632</v>
      </c>
      <c r="AQ60" s="7">
        <f t="shared" si="34"/>
        <v>0</v>
      </c>
      <c r="AR60" s="24"/>
      <c r="AS60">
        <f t="shared" si="35"/>
        <v>2013</v>
      </c>
      <c r="AT60" s="1" t="b">
        <f t="shared" si="36"/>
        <v>1</v>
      </c>
      <c r="AV60" s="1" t="b">
        <f t="shared" si="67"/>
        <v>1</v>
      </c>
      <c r="AW60" s="1" t="b">
        <f t="shared" si="68"/>
        <v>1</v>
      </c>
      <c r="AY60" s="1" t="b">
        <f t="shared" si="55"/>
        <v>1</v>
      </c>
      <c r="AZ60" s="39" t="b">
        <f t="shared" si="38"/>
        <v>1</v>
      </c>
      <c r="BA60" s="1" t="b">
        <f t="shared" si="39"/>
        <v>1</v>
      </c>
      <c r="BC60">
        <f t="shared" si="40"/>
        <v>2013</v>
      </c>
      <c r="BD60" s="2">
        <f t="shared" si="69"/>
        <v>3816.2655129025038</v>
      </c>
      <c r="BE60" s="2"/>
      <c r="BF60" s="2">
        <f t="shared" si="46"/>
        <v>3816.2655129025038</v>
      </c>
      <c r="BG60" s="2">
        <f t="shared" si="46"/>
        <v>1908.1327564512519</v>
      </c>
      <c r="BH60" s="2"/>
      <c r="BI60" s="2">
        <f t="shared" si="70"/>
        <v>3816.2655129025038</v>
      </c>
      <c r="BJ60" s="2">
        <f t="shared" si="11"/>
        <v>5724.3982693537555</v>
      </c>
      <c r="BK60" s="2">
        <f t="shared" si="41"/>
        <v>19081.327564512518</v>
      </c>
      <c r="BL60" s="2">
        <f t="shared" si="42"/>
        <v>0</v>
      </c>
      <c r="BM60" s="2"/>
    </row>
    <row r="61" spans="1:65" x14ac:dyDescent="0.25">
      <c r="A61">
        <f t="shared" si="6"/>
        <v>2014</v>
      </c>
      <c r="B61" s="2">
        <f t="shared" si="60"/>
        <v>4331.842983695632</v>
      </c>
      <c r="C61" s="2"/>
      <c r="D61" s="2">
        <f t="shared" si="62"/>
        <v>4335.277622657245</v>
      </c>
      <c r="E61" s="2">
        <f t="shared" si="63"/>
        <v>2048.7621406017092</v>
      </c>
      <c r="F61" s="2"/>
      <c r="G61" s="2">
        <f t="shared" si="45"/>
        <v>3654.4558551554378</v>
      </c>
      <c r="H61" s="2">
        <f t="shared" si="15"/>
        <v>6054.1236096685325</v>
      </c>
      <c r="I61" s="2">
        <f t="shared" si="43"/>
        <v>20424.462211778558</v>
      </c>
      <c r="J61" s="2">
        <f t="shared" si="16"/>
        <v>-6136.7272083722964</v>
      </c>
      <c r="K61" s="6">
        <f t="shared" si="17"/>
        <v>-0.23104112964597212</v>
      </c>
      <c r="L61" s="7">
        <f t="shared" si="18"/>
        <v>0.76895887035402788</v>
      </c>
      <c r="N61">
        <f t="shared" si="19"/>
        <v>2014</v>
      </c>
      <c r="O61" s="2">
        <f t="shared" si="20"/>
        <v>7566.298518813901</v>
      </c>
      <c r="P61" s="2"/>
      <c r="Q61" s="2"/>
      <c r="R61">
        <f t="shared" si="21"/>
        <v>2014</v>
      </c>
      <c r="S61" s="2">
        <f t="shared" si="64"/>
        <v>2818.5832799328518</v>
      </c>
      <c r="T61" s="2"/>
      <c r="U61" s="2">
        <f t="shared" si="65"/>
        <v>2822.0179188944649</v>
      </c>
      <c r="V61" s="2">
        <f t="shared" si="65"/>
        <v>535.50243683892904</v>
      </c>
      <c r="W61" s="2"/>
      <c r="X61" s="2">
        <f t="shared" si="66"/>
        <v>2141.1961513926576</v>
      </c>
      <c r="Y61" s="2">
        <f t="shared" si="66"/>
        <v>4540.8639059057523</v>
      </c>
      <c r="Z61" s="2">
        <f t="shared" si="24"/>
        <v>12858.163692964656</v>
      </c>
      <c r="AA61" s="2">
        <f t="shared" si="72"/>
        <v>-6223.1638715478621</v>
      </c>
      <c r="AB61" s="6">
        <f t="shared" si="73"/>
        <v>-0.32613893611478645</v>
      </c>
      <c r="AC61" s="7">
        <f t="shared" si="27"/>
        <v>0.67386106388521361</v>
      </c>
      <c r="AD61" s="2">
        <f t="shared" si="28"/>
        <v>0</v>
      </c>
      <c r="AE61" s="2"/>
      <c r="AG61">
        <f t="shared" si="29"/>
        <v>2014</v>
      </c>
      <c r="AH61" s="6">
        <f t="shared" si="71"/>
        <v>0.21920573942257709</v>
      </c>
      <c r="AI61" s="7"/>
      <c r="AJ61" s="6">
        <f t="shared" si="61"/>
        <v>0.21947285679980352</v>
      </c>
      <c r="AK61" s="6">
        <f t="shared" si="61"/>
        <v>4.1646882838482543E-2</v>
      </c>
      <c r="AL61" s="7"/>
      <c r="AM61" s="6">
        <f t="shared" si="74"/>
        <v>0.16652425669181775</v>
      </c>
      <c r="AN61" s="6">
        <f t="shared" si="31"/>
        <v>0.3531502642473191</v>
      </c>
      <c r="AO61" s="6">
        <f t="shared" si="32"/>
        <v>1</v>
      </c>
      <c r="AP61" s="7">
        <f t="shared" si="33"/>
        <v>0.6468497357526809</v>
      </c>
      <c r="AQ61" s="7">
        <f t="shared" si="34"/>
        <v>0</v>
      </c>
      <c r="AR61" s="24"/>
      <c r="AS61">
        <f t="shared" si="35"/>
        <v>2014</v>
      </c>
      <c r="AT61" s="1" t="b">
        <f t="shared" si="36"/>
        <v>1</v>
      </c>
      <c r="AV61" s="1" t="b">
        <f t="shared" si="67"/>
        <v>1</v>
      </c>
      <c r="AW61" s="1" t="b">
        <f t="shared" si="68"/>
        <v>0</v>
      </c>
      <c r="AY61" s="1" t="b">
        <f t="shared" si="55"/>
        <v>1</v>
      </c>
      <c r="AZ61" s="1" t="b">
        <f t="shared" si="38"/>
        <v>0</v>
      </c>
      <c r="BA61" s="1" t="b">
        <f t="shared" si="39"/>
        <v>1</v>
      </c>
      <c r="BC61">
        <f t="shared" si="40"/>
        <v>2014</v>
      </c>
      <c r="BD61" s="2">
        <f t="shared" si="69"/>
        <v>2571.6327385929312</v>
      </c>
      <c r="BE61" s="2"/>
      <c r="BF61" s="2">
        <f t="shared" si="46"/>
        <v>2571.6327385929312</v>
      </c>
      <c r="BG61" s="2">
        <f t="shared" si="46"/>
        <v>1285.8163692964656</v>
      </c>
      <c r="BH61" s="2"/>
      <c r="BI61" s="2">
        <f t="shared" si="70"/>
        <v>2571.6327385929312</v>
      </c>
      <c r="BJ61" s="2">
        <f t="shared" si="11"/>
        <v>3857.4491078893966</v>
      </c>
      <c r="BK61" s="2">
        <f t="shared" si="41"/>
        <v>12858.163692964656</v>
      </c>
      <c r="BL61" s="2">
        <f t="shared" si="42"/>
        <v>0</v>
      </c>
      <c r="BM61" s="2"/>
    </row>
    <row r="62" spans="1:65" x14ac:dyDescent="0.25">
      <c r="A62">
        <f t="shared" si="6"/>
        <v>2015</v>
      </c>
      <c r="B62" s="2">
        <f t="shared" si="60"/>
        <v>2603.7781478253428</v>
      </c>
      <c r="C62" s="2"/>
      <c r="D62" s="2">
        <f t="shared" si="62"/>
        <v>2534.0869006094745</v>
      </c>
      <c r="E62" s="2">
        <f t="shared" si="63"/>
        <v>1237.2125105370592</v>
      </c>
      <c r="F62" s="2"/>
      <c r="G62" s="2">
        <f t="shared" si="45"/>
        <v>2459.25238791642</v>
      </c>
      <c r="H62" s="2">
        <f t="shared" si="15"/>
        <v>3869.0214552130642</v>
      </c>
      <c r="I62" s="2">
        <f t="shared" si="43"/>
        <v>12703.35140210136</v>
      </c>
      <c r="J62" s="2">
        <f t="shared" si="16"/>
        <v>-7721.1108096771986</v>
      </c>
      <c r="K62" s="6">
        <f t="shared" si="17"/>
        <v>-0.37803251461987186</v>
      </c>
      <c r="L62" s="7">
        <f t="shared" si="18"/>
        <v>0.62196748538012814</v>
      </c>
      <c r="N62">
        <f t="shared" si="19"/>
        <v>2015</v>
      </c>
      <c r="O62" s="2">
        <f t="shared" si="20"/>
        <v>7663.9037697065996</v>
      </c>
      <c r="P62" s="2"/>
      <c r="Q62" s="2"/>
      <c r="R62">
        <f t="shared" si="21"/>
        <v>2015</v>
      </c>
      <c r="S62" s="2">
        <f t="shared" si="64"/>
        <v>1070.9973938840228</v>
      </c>
      <c r="T62" s="2"/>
      <c r="U62" s="2">
        <f t="shared" si="65"/>
        <v>1001.3061466681545</v>
      </c>
      <c r="V62" s="2">
        <f t="shared" si="65"/>
        <v>-295.56824340426078</v>
      </c>
      <c r="W62" s="2"/>
      <c r="X62" s="2">
        <f t="shared" si="66"/>
        <v>926.47163397510008</v>
      </c>
      <c r="Y62" s="2">
        <f t="shared" si="66"/>
        <v>2336.240701271744</v>
      </c>
      <c r="Z62" s="2">
        <f t="shared" si="24"/>
        <v>5039.4476323947601</v>
      </c>
      <c r="AA62" s="2">
        <f t="shared" si="72"/>
        <v>-7818.7160605698955</v>
      </c>
      <c r="AB62" s="6">
        <f t="shared" si="73"/>
        <v>-0.60807408019295217</v>
      </c>
      <c r="AC62" s="7">
        <f t="shared" si="27"/>
        <v>0.39192591980704783</v>
      </c>
      <c r="AD62" s="2">
        <f t="shared" si="28"/>
        <v>0</v>
      </c>
      <c r="AE62" s="2"/>
      <c r="AG62">
        <f t="shared" si="29"/>
        <v>2015</v>
      </c>
      <c r="AH62" s="6">
        <f t="shared" si="71"/>
        <v>0.21252277471828429</v>
      </c>
      <c r="AI62" s="7"/>
      <c r="AJ62" s="6">
        <f t="shared" si="61"/>
        <v>0.19869363067323528</v>
      </c>
      <c r="AK62" s="6">
        <f t="shared" si="61"/>
        <v>-5.8650920689060894E-2</v>
      </c>
      <c r="AL62" s="7"/>
      <c r="AM62" s="6">
        <f t="shared" si="74"/>
        <v>0.18384388559165127</v>
      </c>
      <c r="AN62" s="38">
        <f t="shared" si="31"/>
        <v>0.46359062970589016</v>
      </c>
      <c r="AO62" s="6">
        <f t="shared" si="32"/>
        <v>1</v>
      </c>
      <c r="AP62" s="7">
        <f t="shared" si="33"/>
        <v>0.53640937029410996</v>
      </c>
      <c r="AQ62" s="7">
        <f t="shared" si="34"/>
        <v>0</v>
      </c>
      <c r="AR62" s="24"/>
      <c r="AS62">
        <f t="shared" si="35"/>
        <v>2015</v>
      </c>
      <c r="AT62" s="1" t="b">
        <f t="shared" si="36"/>
        <v>1</v>
      </c>
      <c r="AV62" s="1" t="b">
        <f t="shared" si="67"/>
        <v>1</v>
      </c>
      <c r="AW62" s="1" t="b">
        <f t="shared" si="68"/>
        <v>0</v>
      </c>
      <c r="AY62" s="1" t="b">
        <f t="shared" si="55"/>
        <v>1</v>
      </c>
      <c r="AZ62" s="1" t="b">
        <f t="shared" si="38"/>
        <v>0</v>
      </c>
      <c r="BA62" s="1" t="b">
        <f t="shared" si="39"/>
        <v>1</v>
      </c>
      <c r="BC62">
        <f t="shared" si="40"/>
        <v>2015</v>
      </c>
      <c r="BD62" s="2">
        <f t="shared" si="69"/>
        <v>1007.8895264789521</v>
      </c>
      <c r="BE62" s="2"/>
      <c r="BF62" s="2">
        <f t="shared" si="46"/>
        <v>1007.8895264789521</v>
      </c>
      <c r="BG62" s="2">
        <f t="shared" si="46"/>
        <v>503.94476323947606</v>
      </c>
      <c r="BH62" s="2"/>
      <c r="BI62" s="2">
        <f t="shared" si="70"/>
        <v>1007.8895264789521</v>
      </c>
      <c r="BJ62" s="2">
        <f t="shared" si="11"/>
        <v>1511.834289718428</v>
      </c>
      <c r="BK62" s="2">
        <f t="shared" si="41"/>
        <v>5039.4476323947601</v>
      </c>
      <c r="BL62" s="2">
        <f t="shared" si="42"/>
        <v>0</v>
      </c>
      <c r="BM62" s="2"/>
    </row>
    <row r="63" spans="1:65" x14ac:dyDescent="0.25">
      <c r="A63">
        <f t="shared" si="6"/>
        <v>2016</v>
      </c>
      <c r="B63" s="2">
        <f t="shared" si="60"/>
        <v>1127.0220685087643</v>
      </c>
      <c r="C63" s="2"/>
      <c r="D63" s="2">
        <f t="shared" si="62"/>
        <v>1119.4628970601721</v>
      </c>
      <c r="E63" s="2">
        <f t="shared" si="63"/>
        <v>595.5115267200888</v>
      </c>
      <c r="F63" s="2"/>
      <c r="G63" s="2">
        <f t="shared" si="45"/>
        <v>1054.7563894602233</v>
      </c>
      <c r="H63" s="2">
        <f t="shared" si="15"/>
        <v>1549.6301469613886</v>
      </c>
      <c r="I63" s="2">
        <f t="shared" si="43"/>
        <v>5446.3830287106375</v>
      </c>
      <c r="J63" s="2">
        <f t="shared" si="16"/>
        <v>-7256.9683733907223</v>
      </c>
      <c r="K63" s="6">
        <f t="shared" si="17"/>
        <v>-0.57126408171234966</v>
      </c>
      <c r="L63" s="7">
        <f t="shared" si="18"/>
        <v>0.42873591828765034</v>
      </c>
      <c r="N63">
        <f t="shared" si="19"/>
        <v>2016</v>
      </c>
      <c r="O63" s="2">
        <f t="shared" si="20"/>
        <v>7697.6249462933083</v>
      </c>
      <c r="P63" s="2"/>
      <c r="Q63" s="2"/>
      <c r="R63">
        <f t="shared" si="21"/>
        <v>2016</v>
      </c>
      <c r="S63" s="2">
        <f t="shared" si="64"/>
        <v>-412.50292074989738</v>
      </c>
      <c r="T63" s="2"/>
      <c r="U63" s="2">
        <f t="shared" si="65"/>
        <v>-420.06209219848961</v>
      </c>
      <c r="V63" s="2">
        <f t="shared" si="65"/>
        <v>-944.01346253857287</v>
      </c>
      <c r="W63" s="2"/>
      <c r="X63" s="2">
        <f t="shared" si="66"/>
        <v>-484.76859979843834</v>
      </c>
      <c r="Y63" s="2">
        <f t="shared" si="66"/>
        <v>10.105157702726956</v>
      </c>
      <c r="Z63" s="2">
        <f t="shared" si="24"/>
        <v>-2251.2419175826712</v>
      </c>
      <c r="AA63" s="2">
        <f t="shared" si="72"/>
        <v>-7290.6895499774309</v>
      </c>
      <c r="AB63" s="6">
        <f t="shared" si="73"/>
        <v>-1.4467239431383623</v>
      </c>
      <c r="AC63" s="7">
        <f t="shared" si="27"/>
        <v>-0.44672394313836228</v>
      </c>
      <c r="AD63" s="2">
        <f t="shared" si="28"/>
        <v>0</v>
      </c>
      <c r="AE63" s="2"/>
      <c r="AG63">
        <f t="shared" si="29"/>
        <v>2016</v>
      </c>
      <c r="AH63" s="6">
        <f t="shared" si="71"/>
        <v>0.18323349326794386</v>
      </c>
      <c r="AI63" s="7"/>
      <c r="AJ63" s="6">
        <f t="shared" si="61"/>
        <v>0.18659127165220077</v>
      </c>
      <c r="AK63" s="6">
        <f t="shared" si="61"/>
        <v>0.41933008405966049</v>
      </c>
      <c r="AL63" s="7"/>
      <c r="AM63" s="6">
        <f t="shared" si="74"/>
        <v>0.21533385462143984</v>
      </c>
      <c r="AN63" s="6">
        <f t="shared" si="31"/>
        <v>-4.4887036012449645E-3</v>
      </c>
      <c r="AO63" s="6">
        <f t="shared" si="32"/>
        <v>0.99999999999999989</v>
      </c>
      <c r="AP63" s="7">
        <f t="shared" si="33"/>
        <v>1.0044887036012449</v>
      </c>
      <c r="AQ63" s="7">
        <f t="shared" si="34"/>
        <v>0</v>
      </c>
      <c r="AR63" s="24"/>
      <c r="AS63">
        <f t="shared" si="35"/>
        <v>2016</v>
      </c>
      <c r="AT63" s="1" t="b">
        <f t="shared" si="36"/>
        <v>1</v>
      </c>
      <c r="AV63" s="1" t="b">
        <f t="shared" si="67"/>
        <v>1</v>
      </c>
      <c r="AW63" s="1" t="b">
        <f t="shared" si="68"/>
        <v>0</v>
      </c>
      <c r="AY63" s="1" t="b">
        <f t="shared" si="55"/>
        <v>1</v>
      </c>
      <c r="AZ63" s="1" t="b">
        <f t="shared" si="38"/>
        <v>0</v>
      </c>
      <c r="BA63" s="1" t="b">
        <f t="shared" si="39"/>
        <v>1</v>
      </c>
      <c r="BC63">
        <f t="shared" si="40"/>
        <v>2016</v>
      </c>
      <c r="BD63" s="2">
        <f t="shared" si="69"/>
        <v>-450.24838351653426</v>
      </c>
      <c r="BE63" s="2"/>
      <c r="BF63" s="2">
        <f t="shared" si="46"/>
        <v>-450.24838351653426</v>
      </c>
      <c r="BG63" s="2">
        <f t="shared" si="46"/>
        <v>-225.12419175826713</v>
      </c>
      <c r="BH63" s="2"/>
      <c r="BI63" s="2">
        <f t="shared" si="70"/>
        <v>-450.24838351653426</v>
      </c>
      <c r="BJ63" s="2">
        <f t="shared" si="11"/>
        <v>-675.37257527480131</v>
      </c>
      <c r="BK63" s="2">
        <f t="shared" si="41"/>
        <v>-2251.2419175826712</v>
      </c>
      <c r="BL63" s="2">
        <f t="shared" si="42"/>
        <v>0</v>
      </c>
      <c r="BM63" s="2"/>
    </row>
    <row r="64" spans="1:65" x14ac:dyDescent="0.25">
      <c r="A64">
        <f t="shared" si="6"/>
        <v>2017</v>
      </c>
      <c r="B64" s="2">
        <f t="shared" si="60"/>
        <v>-547.81720822456714</v>
      </c>
      <c r="C64" s="2"/>
      <c r="D64" s="2">
        <f t="shared" si="62"/>
        <v>-538.49706668577494</v>
      </c>
      <c r="E64" s="2">
        <f t="shared" si="63"/>
        <v>-261.36918663134816</v>
      </c>
      <c r="F64" s="2"/>
      <c r="G64" s="2">
        <f t="shared" si="45"/>
        <v>-573.61644060006461</v>
      </c>
      <c r="H64" s="2">
        <f t="shared" si="15"/>
        <v>-698.7404663793094</v>
      </c>
      <c r="I64" s="2">
        <f t="shared" si="43"/>
        <v>-2620.0403685210645</v>
      </c>
      <c r="J64" s="2">
        <f t="shared" si="16"/>
        <v>-8066.4233972317015</v>
      </c>
      <c r="K64" s="6">
        <f t="shared" si="17"/>
        <v>-1.481060614853841</v>
      </c>
      <c r="L64" s="7">
        <f t="shared" si="18"/>
        <v>-0.481060614853841</v>
      </c>
      <c r="N64">
        <f t="shared" si="19"/>
        <v>2017</v>
      </c>
      <c r="O64" s="2">
        <f t="shared" si="20"/>
        <v>7828.4845703802939</v>
      </c>
      <c r="P64" s="2"/>
      <c r="Q64" s="2"/>
      <c r="R64">
        <f t="shared" si="21"/>
        <v>2017</v>
      </c>
      <c r="S64" s="2">
        <f t="shared" si="64"/>
        <v>-2113.5141223006258</v>
      </c>
      <c r="T64" s="2"/>
      <c r="U64" s="2">
        <f t="shared" si="65"/>
        <v>-2104.1939807618337</v>
      </c>
      <c r="V64" s="2">
        <f t="shared" si="65"/>
        <v>-1827.066100707407</v>
      </c>
      <c r="W64" s="2"/>
      <c r="X64" s="2">
        <f t="shared" si="66"/>
        <v>-2139.3133546761237</v>
      </c>
      <c r="Y64" s="2">
        <f t="shared" si="66"/>
        <v>-2264.4373804553684</v>
      </c>
      <c r="Z64" s="2">
        <f t="shared" si="24"/>
        <v>-10448.524938901359</v>
      </c>
      <c r="AA64" s="2">
        <f t="shared" si="72"/>
        <v>-8197.283021318688</v>
      </c>
      <c r="AB64" s="6">
        <f t="shared" si="73"/>
        <v>3.641227074396665</v>
      </c>
      <c r="AC64" s="7">
        <f t="shared" si="27"/>
        <v>4.6412270743966655</v>
      </c>
      <c r="AD64" s="2">
        <f t="shared" si="28"/>
        <v>0</v>
      </c>
      <c r="AE64" s="2"/>
      <c r="AG64">
        <f t="shared" si="29"/>
        <v>2017</v>
      </c>
      <c r="AH64" s="6">
        <f t="shared" si="71"/>
        <v>0.20227870772760556</v>
      </c>
      <c r="AI64" s="7"/>
      <c r="AJ64" s="6">
        <f t="shared" si="61"/>
        <v>0.2013867022442199</v>
      </c>
      <c r="AK64" s="6">
        <f t="shared" si="61"/>
        <v>0.17486354403050497</v>
      </c>
      <c r="AL64" s="7"/>
      <c r="AM64" s="6">
        <f t="shared" si="74"/>
        <v>0.20474788232654284</v>
      </c>
      <c r="AN64" s="6">
        <f t="shared" si="31"/>
        <v>0.21672316367112671</v>
      </c>
      <c r="AO64" s="6">
        <f t="shared" si="32"/>
        <v>1</v>
      </c>
      <c r="AP64" s="7">
        <f t="shared" si="33"/>
        <v>0.78327683632887324</v>
      </c>
      <c r="AQ64" s="7">
        <f t="shared" si="34"/>
        <v>0</v>
      </c>
      <c r="AR64" s="24"/>
      <c r="AS64">
        <f t="shared" si="35"/>
        <v>2017</v>
      </c>
      <c r="AT64" s="1" t="b">
        <f t="shared" si="36"/>
        <v>1</v>
      </c>
      <c r="AV64" s="1" t="b">
        <f t="shared" si="67"/>
        <v>1</v>
      </c>
      <c r="AW64" s="1" t="b">
        <f t="shared" si="68"/>
        <v>0</v>
      </c>
      <c r="AY64" s="1" t="b">
        <f t="shared" si="55"/>
        <v>1</v>
      </c>
      <c r="AZ64" s="1" t="b">
        <f t="shared" si="38"/>
        <v>0</v>
      </c>
      <c r="BA64" s="1" t="b">
        <f t="shared" si="39"/>
        <v>1</v>
      </c>
      <c r="BC64">
        <f t="shared" si="40"/>
        <v>2017</v>
      </c>
      <c r="BD64" s="2">
        <f t="shared" si="69"/>
        <v>-2089.7049877802719</v>
      </c>
      <c r="BE64" s="2"/>
      <c r="BF64" s="2">
        <f t="shared" si="46"/>
        <v>-2089.7049877802719</v>
      </c>
      <c r="BG64" s="2">
        <f t="shared" si="46"/>
        <v>-1044.852493890136</v>
      </c>
      <c r="BH64" s="2"/>
      <c r="BI64" s="2">
        <f t="shared" si="70"/>
        <v>-2089.7049877802719</v>
      </c>
      <c r="BJ64" s="2">
        <f t="shared" si="11"/>
        <v>-3134.5574816704075</v>
      </c>
      <c r="BK64" s="2">
        <f t="shared" si="41"/>
        <v>-10448.524938901359</v>
      </c>
      <c r="BL64" s="2">
        <f t="shared" si="42"/>
        <v>0</v>
      </c>
      <c r="BM64" s="2"/>
    </row>
    <row r="65" spans="1:62" x14ac:dyDescent="0.25">
      <c r="A65" s="9" t="s">
        <v>79</v>
      </c>
      <c r="B65" s="10">
        <f>BD64</f>
        <v>-2089.7049877802719</v>
      </c>
      <c r="C65" s="10"/>
      <c r="D65" s="10">
        <f>BF64</f>
        <v>-2089.7049877802719</v>
      </c>
      <c r="E65" s="10">
        <f>BG64</f>
        <v>-1044.852493890136</v>
      </c>
      <c r="F65" s="10"/>
      <c r="G65" s="10">
        <f>BI64</f>
        <v>-2089.7049877802719</v>
      </c>
      <c r="H65" s="10">
        <f>BJ64</f>
        <v>-3134.5574816704075</v>
      </c>
      <c r="I65" s="10">
        <f>SUM(B65:H65)</f>
        <v>-10448.524938901359</v>
      </c>
      <c r="J65" s="10"/>
      <c r="K65" s="10"/>
      <c r="L65" s="74"/>
      <c r="N65" t="s">
        <v>40</v>
      </c>
      <c r="O65" s="2">
        <f>O64</f>
        <v>7828.4845703802939</v>
      </c>
      <c r="P65" s="2"/>
      <c r="R65" s="9" t="s">
        <v>79</v>
      </c>
      <c r="S65" s="10">
        <f>S64</f>
        <v>-2113.5141223006258</v>
      </c>
      <c r="T65" s="10"/>
      <c r="U65" s="10">
        <f>U64</f>
        <v>-2104.1939807618337</v>
      </c>
      <c r="V65" s="10">
        <f>V64</f>
        <v>-1827.066100707407</v>
      </c>
      <c r="W65" s="10"/>
      <c r="X65" s="10">
        <f>X64</f>
        <v>-2139.3133546761237</v>
      </c>
      <c r="Y65" s="10">
        <f>Y64</f>
        <v>-2264.4373804553684</v>
      </c>
      <c r="Z65" s="10">
        <f>SUM(S65:Y65)</f>
        <v>-10448.524938901359</v>
      </c>
      <c r="AA65" s="10"/>
      <c r="AB65" s="10"/>
      <c r="AC65" s="74"/>
      <c r="AD65" s="10"/>
      <c r="AE65" s="43"/>
      <c r="AK65" s="7"/>
      <c r="BC65" s="21"/>
      <c r="BD65" s="22"/>
      <c r="BF65" s="22"/>
      <c r="BG65" s="22"/>
      <c r="BI65" s="22"/>
      <c r="BJ65" s="22"/>
    </row>
    <row r="66" spans="1:62" x14ac:dyDescent="0.25">
      <c r="A66" s="11" t="s">
        <v>11</v>
      </c>
      <c r="I66" s="6">
        <f>(Z65-Z39)/Z39</f>
        <v>-1.1044852493890136</v>
      </c>
      <c r="K66" s="6"/>
      <c r="N66" t="s">
        <v>71</v>
      </c>
      <c r="O66" s="2">
        <f>SUM(O40:O64)</f>
        <v>156355.77333101488</v>
      </c>
      <c r="P66" s="2"/>
      <c r="AB66" s="6"/>
      <c r="BF66" s="22"/>
    </row>
    <row r="67" spans="1:62" x14ac:dyDescent="0.25">
      <c r="A67" s="1" t="s">
        <v>12</v>
      </c>
      <c r="I67" s="12">
        <f>STDEV(AC40:AC64)</f>
        <v>0.82742569847601422</v>
      </c>
    </row>
    <row r="68" spans="1:62" x14ac:dyDescent="0.25">
      <c r="A68" s="1" t="s">
        <v>13</v>
      </c>
      <c r="I68" s="13">
        <f>((1+I66)^(1/I75))-1</f>
        <v>-1.9136128500679503</v>
      </c>
    </row>
    <row r="69" spans="1:62" x14ac:dyDescent="0.25">
      <c r="A69" s="1" t="s">
        <v>83</v>
      </c>
      <c r="I69" s="31">
        <f>J60</f>
        <v>-3008.1455341738765</v>
      </c>
      <c r="O69" s="2"/>
      <c r="P69" s="2"/>
    </row>
    <row r="70" spans="1:62" x14ac:dyDescent="0.25">
      <c r="A70" s="1" t="s">
        <v>84</v>
      </c>
      <c r="I70" s="32">
        <f>K60</f>
        <v>-0.10173193069172877</v>
      </c>
    </row>
    <row r="71" spans="1:62" x14ac:dyDescent="0.25">
      <c r="A71" s="1" t="s">
        <v>43</v>
      </c>
      <c r="I71" s="2">
        <f>O66</f>
        <v>156355.77333101488</v>
      </c>
    </row>
    <row r="72" spans="1:62" x14ac:dyDescent="0.25">
      <c r="A72" s="3" t="s">
        <v>5</v>
      </c>
      <c r="B72" s="3"/>
      <c r="C72" s="3"/>
      <c r="D72" s="3"/>
      <c r="E72" s="3"/>
      <c r="F72" s="3"/>
      <c r="G72" s="3"/>
      <c r="H72" s="3"/>
      <c r="I72" s="33">
        <f>I65-Z65</f>
        <v>0</v>
      </c>
      <c r="Z72" s="2"/>
    </row>
    <row r="73" spans="1:62" x14ac:dyDescent="0.25">
      <c r="A73" s="3" t="s">
        <v>149</v>
      </c>
      <c r="B73" s="3"/>
      <c r="C73" s="3"/>
      <c r="D73" s="3"/>
      <c r="E73" s="3"/>
      <c r="F73" s="3"/>
      <c r="G73" s="3"/>
      <c r="H73" s="3"/>
      <c r="I73" s="33">
        <f>((SUM(AA40:AA64)))-(I65-I39)</f>
        <v>0</v>
      </c>
    </row>
    <row r="74" spans="1:62" x14ac:dyDescent="0.25">
      <c r="A74" s="3" t="s">
        <v>148</v>
      </c>
      <c r="B74" s="3"/>
      <c r="C74" s="3"/>
      <c r="D74" s="3"/>
      <c r="E74" s="3"/>
      <c r="F74" s="3"/>
      <c r="G74" s="3"/>
      <c r="H74" s="3"/>
      <c r="I74" s="33">
        <f>(SUM(O40:O64))-I71</f>
        <v>0</v>
      </c>
      <c r="Z74" s="73"/>
    </row>
    <row r="75" spans="1:62" x14ac:dyDescent="0.25">
      <c r="A75" s="3" t="s">
        <v>160</v>
      </c>
      <c r="B75" s="3"/>
      <c r="C75" s="3"/>
      <c r="D75" s="3"/>
      <c r="E75" s="3"/>
      <c r="F75" s="3"/>
      <c r="G75" s="3"/>
      <c r="H75" s="3"/>
      <c r="I75" s="75">
        <f>COUNTA(I40:I64)</f>
        <v>25</v>
      </c>
    </row>
    <row r="76" spans="1:62" x14ac:dyDescent="0.25">
      <c r="A76" s="1" t="s">
        <v>106</v>
      </c>
      <c r="B76" s="63"/>
      <c r="C76" s="63"/>
      <c r="D76" s="63"/>
      <c r="E76" s="63"/>
      <c r="G76" s="63"/>
      <c r="H76" s="63"/>
      <c r="I76" s="86">
        <f>(SUM(B65:G65)/I65)</f>
        <v>0.70000000000000007</v>
      </c>
    </row>
    <row r="77" spans="1:62" x14ac:dyDescent="0.25">
      <c r="A77" s="1" t="s">
        <v>107</v>
      </c>
      <c r="B77" s="63"/>
      <c r="C77" s="63"/>
      <c r="D77" s="63"/>
      <c r="E77" s="63"/>
      <c r="G77" s="63"/>
      <c r="H77" s="63"/>
      <c r="I77" s="86">
        <f>(H65/I65)</f>
        <v>0.3</v>
      </c>
    </row>
    <row r="78" spans="1:62" x14ac:dyDescent="0.25">
      <c r="A78" s="3" t="s">
        <v>108</v>
      </c>
      <c r="I78" s="3">
        <f>100%-(I76+I77)</f>
        <v>0</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7357-54AB-46FA-BF62-D6B2E383BB20}">
  <dimension ref="A1:CH78"/>
  <sheetViews>
    <sheetView topLeftCell="A26" zoomScaleNormal="100" workbookViewId="0">
      <selection activeCell="L71" sqref="L71"/>
    </sheetView>
  </sheetViews>
  <sheetFormatPr defaultColWidth="8.85546875" defaultRowHeight="15" x14ac:dyDescent="0.25"/>
  <cols>
    <col min="1" max="1" width="25.42578125" customWidth="1"/>
    <col min="2" max="4" width="9.28515625" bestFit="1" customWidth="1"/>
    <col min="7" max="7" width="9.85546875" bestFit="1" customWidth="1"/>
    <col min="8" max="8" width="9.28515625" bestFit="1"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4" max="24" width="9.85546875" bestFit="1" customWidth="1"/>
    <col min="25" max="25" width="9.28515625" bestFit="1" customWidth="1"/>
    <col min="26" max="26" width="10.85546875" bestFit="1" customWidth="1"/>
    <col min="27" max="31" width="10.85546875" customWidth="1"/>
    <col min="46" max="46" width="13.7109375" bestFit="1" customWidth="1"/>
    <col min="47" max="48" width="9.28515625" bestFit="1" customWidth="1"/>
    <col min="51" max="51" width="9.85546875" bestFit="1" customWidth="1"/>
    <col min="52" max="52" width="10.140625" bestFit="1" customWidth="1"/>
    <col min="53" max="5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c r="N4" s="49">
        <f>'4.5% Withdrawals-No Rebalancing'!N4</f>
        <v>1993</v>
      </c>
      <c r="O4" s="50">
        <f>'4.5% Withdrawals-No Rebalancing'!O4</f>
        <v>0.03</v>
      </c>
      <c r="P4" s="44"/>
    </row>
    <row r="5" spans="1:16"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c r="N5" s="49">
        <f>'4.5% Withdrawals-No Rebalancing'!N5</f>
        <v>1994</v>
      </c>
      <c r="O5" s="50">
        <f>'4.5% Withdrawals-No Rebalancing'!O5</f>
        <v>2.8000000000000001E-2</v>
      </c>
      <c r="P5" s="44"/>
    </row>
    <row r="6" spans="1:16"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c r="N6" s="49">
        <f>'4.5% Withdrawals-No Rebalancing'!N6</f>
        <v>1995</v>
      </c>
      <c r="O6" s="50">
        <f>'4.5% Withdrawals-No Rebalancing'!O6</f>
        <v>2.5999999999999999E-2</v>
      </c>
      <c r="P6" s="44"/>
    </row>
    <row r="7" spans="1:16"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c r="N7" s="49">
        <f>'4.5% Withdrawals-No Rebalancing'!N7</f>
        <v>1996</v>
      </c>
      <c r="O7" s="50">
        <f>'4.5% Withdrawals-No Rebalancing'!O7</f>
        <v>2.5000000000000001E-2</v>
      </c>
      <c r="P7" s="44"/>
    </row>
    <row r="8" spans="1:16" x14ac:dyDescent="0.25">
      <c r="A8" s="17">
        <f>'Non-Rebalanced Portfolio'!A8</f>
        <v>1997</v>
      </c>
      <c r="B8" s="17">
        <f>'Non-Rebalanced Portfolio'!B8</f>
        <v>33.19</v>
      </c>
      <c r="C8" s="17">
        <f>'Non-Rebalanced Portfolio'!C8</f>
        <v>26.687000000000001</v>
      </c>
      <c r="D8" s="17"/>
      <c r="E8" s="17"/>
      <c r="F8" s="17">
        <f>'Non-Rebalanced Portfolio'!F8</f>
        <v>0</v>
      </c>
      <c r="G8" s="17"/>
      <c r="H8" s="17">
        <f>'Non-Rebalanced Portfolio'!H8</f>
        <v>9.44</v>
      </c>
      <c r="N8" s="49">
        <f>'4.5% Withdrawals-No Rebalancing'!N8</f>
        <v>1997</v>
      </c>
      <c r="O8" s="50">
        <f>'4.5% Withdrawals-No Rebalancing'!O8</f>
        <v>3.4000000000000002E-2</v>
      </c>
      <c r="P8" s="44"/>
    </row>
    <row r="9" spans="1:16" x14ac:dyDescent="0.25">
      <c r="A9" s="17">
        <f>'Non-Rebalanced Portfolio'!A9</f>
        <v>1998</v>
      </c>
      <c r="B9" s="17">
        <f>'Non-Rebalanced Portfolio'!B9</f>
        <v>28.66</v>
      </c>
      <c r="C9" s="17">
        <f>'Non-Rebalanced Portfolio'!C9</f>
        <v>8.3529999999999998</v>
      </c>
      <c r="D9" s="17"/>
      <c r="E9" s="17"/>
      <c r="F9" s="17">
        <f>'Non-Rebalanced Portfolio'!F9</f>
        <v>0</v>
      </c>
      <c r="G9" s="17"/>
      <c r="H9" s="17">
        <f>'Non-Rebalanced Portfolio'!H9</f>
        <v>8.58</v>
      </c>
      <c r="N9" s="49">
        <f>'4.5% Withdrawals-No Rebalancing'!N9</f>
        <v>1998</v>
      </c>
      <c r="O9" s="50">
        <f>'4.5% Withdrawals-No Rebalancing'!O9</f>
        <v>1.7000000000000001E-2</v>
      </c>
      <c r="P9" s="44"/>
    </row>
    <row r="10" spans="1:16" x14ac:dyDescent="0.25">
      <c r="A10" s="17">
        <f>'Non-Rebalanced Portfolio'!A10</f>
        <v>1999</v>
      </c>
      <c r="B10" s="17">
        <f>'Non-Rebalanced Portfolio'!B10</f>
        <v>21.07</v>
      </c>
      <c r="C10" s="17">
        <f>'Non-Rebalanced Portfolio'!C10</f>
        <v>0</v>
      </c>
      <c r="D10" s="17"/>
      <c r="E10" s="17"/>
      <c r="F10" s="17"/>
      <c r="G10" s="17">
        <f>'Non-Rebalanced Portfolio'!G10</f>
        <v>29.919</v>
      </c>
      <c r="H10" s="17">
        <f>'Non-Rebalanced Portfolio'!H10</f>
        <v>-0.76</v>
      </c>
      <c r="N10" s="49">
        <f>'4.5% Withdrawals-No Rebalancing'!N10</f>
        <v>1999</v>
      </c>
      <c r="O10" s="50">
        <f>'4.5% Withdrawals-No Rebalancing'!O10</f>
        <v>1.6E-2</v>
      </c>
      <c r="P10" s="44"/>
    </row>
    <row r="11" spans="1:16" x14ac:dyDescent="0.25">
      <c r="A11" s="17">
        <f>'Non-Rebalanced Portfolio'!A11</f>
        <v>2000</v>
      </c>
      <c r="B11" s="17">
        <f>'Non-Rebalanced Portfolio'!B11</f>
        <v>-9.06</v>
      </c>
      <c r="C11" s="17">
        <f>'Non-Rebalanced Portfolio'!C11</f>
        <v>0</v>
      </c>
      <c r="D11" s="17"/>
      <c r="E11" s="17"/>
      <c r="F11" s="17"/>
      <c r="G11" s="17">
        <f>'Non-Rebalanced Portfolio'!G11</f>
        <v>-15.614000000000001</v>
      </c>
      <c r="H11" s="17">
        <f>'Non-Rebalanced Portfolio'!H11</f>
        <v>11.39</v>
      </c>
      <c r="N11" s="49">
        <f>'4.5% Withdrawals-No Rebalancing'!N11</f>
        <v>2000</v>
      </c>
      <c r="O11" s="50">
        <f>'4.5% Withdrawals-No Rebalancing'!O11</f>
        <v>2.7E-2</v>
      </c>
      <c r="P11" s="44"/>
    </row>
    <row r="12" spans="1:16" x14ac:dyDescent="0.25">
      <c r="A12" s="17">
        <f>'Non-Rebalanced Portfolio'!A12</f>
        <v>2001</v>
      </c>
      <c r="B12" s="17">
        <f>'Non-Rebalanced Portfolio'!B12</f>
        <v>-12.02</v>
      </c>
      <c r="C12" s="17">
        <f>'Non-Rebalanced Portfolio'!C12</f>
        <v>0</v>
      </c>
      <c r="D12" s="17">
        <f>'Non-Rebalanced Portfolio'!D12</f>
        <v>-0.499</v>
      </c>
      <c r="E12" s="17">
        <f>'Non-Rebalanced Portfolio'!E12</f>
        <v>3.1</v>
      </c>
      <c r="F12" s="17"/>
      <c r="G12" s="17">
        <f>'Non-Rebalanced Portfolio'!G12</f>
        <v>-20.152999999999999</v>
      </c>
      <c r="H12" s="17">
        <f>'Non-Rebalanced Portfolio'!H12</f>
        <v>8.43</v>
      </c>
      <c r="N12" s="49">
        <f>'4.5% Withdrawals-No Rebalancing'!N12</f>
        <v>2001</v>
      </c>
      <c r="O12" s="50">
        <f>'4.5% Withdrawals-No Rebalancing'!O12</f>
        <v>3.4000000000000002E-2</v>
      </c>
      <c r="P12" s="44"/>
    </row>
    <row r="13" spans="1:16" x14ac:dyDescent="0.25">
      <c r="A13" s="17">
        <f>'Non-Rebalanced Portfolio'!A13</f>
        <v>2002</v>
      </c>
      <c r="B13" s="17">
        <f>'Non-Rebalanced Portfolio'!B13</f>
        <v>-22.15</v>
      </c>
      <c r="C13" s="17">
        <f>'Non-Rebalanced Portfolio'!C13</f>
        <v>0</v>
      </c>
      <c r="D13" s="17">
        <f>'Non-Rebalanced Portfolio'!D13</f>
        <v>-14.608000000000001</v>
      </c>
      <c r="E13" s="17">
        <f>'Non-Rebalanced Portfolio'!E13</f>
        <v>-20.021999999999998</v>
      </c>
      <c r="F13" s="17"/>
      <c r="G13" s="17">
        <f>'Non-Rebalanced Portfolio'!G13</f>
        <v>-15.083</v>
      </c>
      <c r="H13" s="17">
        <f>'Non-Rebalanced Portfolio'!H13</f>
        <v>8.26</v>
      </c>
      <c r="N13" s="49">
        <f>'4.5% Withdrawals-No Rebalancing'!N13</f>
        <v>2002</v>
      </c>
      <c r="O13" s="50">
        <f>'4.5% Withdrawals-No Rebalancing'!O13</f>
        <v>1.6E-2</v>
      </c>
      <c r="P13" s="44"/>
    </row>
    <row r="14" spans="1:16" x14ac:dyDescent="0.25">
      <c r="A14" s="17">
        <f>'Non-Rebalanced Portfolio'!A14</f>
        <v>2003</v>
      </c>
      <c r="B14" s="17">
        <f>'Non-Rebalanced Portfolio'!B14</f>
        <v>28.5</v>
      </c>
      <c r="C14" s="17">
        <f>'Non-Rebalanced Portfolio'!C14</f>
        <v>0</v>
      </c>
      <c r="D14" s="17">
        <f>'Non-Rebalanced Portfolio'!D14</f>
        <v>34.142000000000003</v>
      </c>
      <c r="E14" s="17">
        <f>'Non-Rebalanced Portfolio'!E14</f>
        <v>45.628</v>
      </c>
      <c r="F14" s="17"/>
      <c r="G14" s="17">
        <f>'Non-Rebalanced Portfolio'!G14</f>
        <v>40.340000000000003</v>
      </c>
      <c r="H14" s="17">
        <f>'Non-Rebalanced Portfolio'!H14</f>
        <v>3.97</v>
      </c>
      <c r="N14" s="49">
        <f>'4.5% Withdrawals-No Rebalancing'!N14</f>
        <v>2003</v>
      </c>
      <c r="O14" s="50">
        <f>'4.5% Withdrawals-No Rebalancing'!O14</f>
        <v>2.5000000000000001E-2</v>
      </c>
      <c r="P14" s="44"/>
    </row>
    <row r="15" spans="1:16" x14ac:dyDescent="0.25">
      <c r="A15" s="17">
        <f>'Non-Rebalanced Portfolio'!A15</f>
        <v>2004</v>
      </c>
      <c r="B15" s="17">
        <f>'Non-Rebalanced Portfolio'!B15</f>
        <v>10.74</v>
      </c>
      <c r="C15" s="17">
        <f>'Non-Rebalanced Portfolio'!C15</f>
        <v>0</v>
      </c>
      <c r="D15" s="17">
        <f>'Non-Rebalanced Portfolio'!D15</f>
        <v>20.353000000000002</v>
      </c>
      <c r="E15" s="17">
        <f>'Non-Rebalanced Portfolio'!E15</f>
        <v>19.896999999999998</v>
      </c>
      <c r="F15" s="17"/>
      <c r="G15" s="17">
        <f>'Non-Rebalanced Portfolio'!G15</f>
        <v>20.837</v>
      </c>
      <c r="H15" s="17">
        <f>'Non-Rebalanced Portfolio'!H15</f>
        <v>4.24</v>
      </c>
      <c r="N15" s="49">
        <f>'4.5% Withdrawals-No Rebalancing'!N15</f>
        <v>2004</v>
      </c>
      <c r="O15" s="50">
        <f>'4.5% Withdrawals-No Rebalancing'!O15</f>
        <v>0.02</v>
      </c>
      <c r="P15" s="44"/>
    </row>
    <row r="16" spans="1:16" x14ac:dyDescent="0.25">
      <c r="A16" s="17">
        <f>'Non-Rebalanced Portfolio'!A16</f>
        <v>2005</v>
      </c>
      <c r="B16" s="17">
        <f>'Non-Rebalanced Portfolio'!B16</f>
        <v>4.7699999999999996</v>
      </c>
      <c r="C16" s="17">
        <f>'Non-Rebalanced Portfolio'!C16</f>
        <v>0</v>
      </c>
      <c r="D16" s="17">
        <f>'Non-Rebalanced Portfolio'!D16</f>
        <v>13.930999999999999</v>
      </c>
      <c r="E16" s="17">
        <f>'Non-Rebalanced Portfolio'!E16</f>
        <v>7.3630000000000004</v>
      </c>
      <c r="F16" s="17"/>
      <c r="G16" s="17">
        <f>'Non-Rebalanced Portfolio'!G16</f>
        <v>15.571</v>
      </c>
      <c r="H16" s="17">
        <f>'Non-Rebalanced Portfolio'!H16</f>
        <v>2.4</v>
      </c>
      <c r="N16" s="49">
        <f>'4.5% Withdrawals-No Rebalancing'!N16</f>
        <v>2005</v>
      </c>
      <c r="O16" s="50">
        <f>'4.5% Withdrawals-No Rebalancing'!O16</f>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9">
        <f>'4.5% Withdrawals-No Rebalancing'!N17</f>
        <v>2006</v>
      </c>
      <c r="O17" s="50">
        <f>'4.5% Withdrawals-No Rebalancing'!O17</f>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9">
        <f>'4.5% Withdrawals-No Rebalancing'!N18</f>
        <v>2007</v>
      </c>
      <c r="O18" s="50">
        <f>'4.5% Withdrawals-No Rebalancing'!O18</f>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9">
        <f>'4.5% Withdrawals-No Rebalancing'!N19</f>
        <v>2008</v>
      </c>
      <c r="O19" s="50">
        <f>'4.5% Withdrawals-No Rebalancing'!O19</f>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9">
        <f>'4.5% Withdrawals-No Rebalancing'!N20</f>
        <v>2009</v>
      </c>
      <c r="O20" s="50">
        <f>'4.5% Withdrawals-No Rebalancing'!O20</f>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9">
        <f>'4.5% Withdrawals-No Rebalancing'!N21</f>
        <v>2010</v>
      </c>
      <c r="O21" s="50">
        <f>'4.5% Withdrawals-No Rebalancing'!O21</f>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9">
        <f>'4.5% Withdrawals-No Rebalancing'!N22</f>
        <v>2011</v>
      </c>
      <c r="O22" s="50">
        <f>'4.5% Withdrawals-No Rebalancing'!O22</f>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9">
        <f>'4.5% Withdrawals-No Rebalancing'!N23</f>
        <v>2012</v>
      </c>
      <c r="O23" s="50">
        <f>'4.5% Withdrawals-No Rebalancing'!O23</f>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9">
        <f>'4.5% Withdrawals-No Rebalancing'!N24</f>
        <v>2013</v>
      </c>
      <c r="O24" s="50">
        <f>'4.5% Withdrawals-No Rebalancing'!O24</f>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9">
        <f>'4.5% Withdrawals-No Rebalancing'!N25</f>
        <v>2014</v>
      </c>
      <c r="O25" s="50">
        <f>'4.5% Withdrawals-No Rebalancing'!O25</f>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9">
        <f>'4.5% Withdrawals-No Rebalancing'!N26</f>
        <v>2015</v>
      </c>
      <c r="O26" s="50">
        <f>'4.5% Withdrawals-No Rebalancing'!O26</f>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9">
        <f>'4.5% Withdrawals-No Rebalancing'!N27</f>
        <v>2016</v>
      </c>
      <c r="O27" s="50">
        <f>'4.5% Withdrawals-No Rebalancing'!O27</f>
        <v>4.4000000000000003E-3</v>
      </c>
    </row>
    <row r="28" spans="1:16"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c r="N28" s="49">
        <f>'4.5% Withdrawals-No Rebalancing'!N28</f>
        <v>2017</v>
      </c>
      <c r="O28" s="50">
        <f>'4.5% Withdrawals-No Rebalancing'!O28</f>
        <v>1.7000000000000001E-2</v>
      </c>
    </row>
    <row r="29" spans="1:16"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9">
        <f>'4.5% Withdrawals-No Rebalancing'!N32</f>
        <v>2017</v>
      </c>
      <c r="O32" s="50">
        <f>'4.5% Withdrawals-No Rebalancing'!O32</f>
        <v>2.23E-2</v>
      </c>
    </row>
    <row r="33" spans="1:86"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86" x14ac:dyDescent="0.25">
      <c r="A36" s="20" t="s">
        <v>121</v>
      </c>
      <c r="N36" s="20" t="s">
        <v>25</v>
      </c>
      <c r="R36" s="20" t="s">
        <v>122</v>
      </c>
      <c r="AG36" s="20" t="s">
        <v>123</v>
      </c>
      <c r="AR36" s="1"/>
      <c r="AS36" s="20" t="s">
        <v>9</v>
      </c>
      <c r="BL36" s="20" t="s">
        <v>7</v>
      </c>
    </row>
    <row r="37" spans="1:86"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R37" s="71"/>
      <c r="AT37" s="4" t="str">
        <f t="shared" ref="AT37:AZ39" si="3">BO37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4"/>
      <c r="BB37" t="s">
        <v>89</v>
      </c>
      <c r="BO37" s="4" t="str">
        <f t="shared" ref="BO37:BU39" si="4">AH37</f>
        <v>LC Stocks</v>
      </c>
      <c r="BP37" s="4" t="str">
        <f t="shared" si="4"/>
        <v>Ext Mkt</v>
      </c>
      <c r="BQ37" s="4" t="str">
        <f t="shared" si="4"/>
        <v>Mcap Stk</v>
      </c>
      <c r="BR37" s="4" t="str">
        <f t="shared" si="4"/>
        <v>Small Cap</v>
      </c>
      <c r="BS37" s="4" t="str">
        <f t="shared" si="4"/>
        <v>Intl Val</v>
      </c>
      <c r="BT37" s="4" t="str">
        <f t="shared" si="4"/>
        <v>Tot Int Stk</v>
      </c>
      <c r="BU37" s="4" t="str">
        <f t="shared" si="4"/>
        <v>Bonds</v>
      </c>
      <c r="BV37" s="5"/>
    </row>
    <row r="38" spans="1:86"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R38" s="71"/>
      <c r="AS38" t="s">
        <v>73</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BV38</f>
        <v>Total</v>
      </c>
      <c r="BB38" t="s">
        <v>88</v>
      </c>
      <c r="BN38" t="str">
        <f t="shared" ref="BN38:BN64" si="5">AG38</f>
        <v>Fund</v>
      </c>
      <c r="BO38" s="4" t="str">
        <f t="shared" si="4"/>
        <v>VFINX</v>
      </c>
      <c r="BP38" s="4" t="str">
        <f t="shared" si="4"/>
        <v>VEXMX</v>
      </c>
      <c r="BQ38" s="4" t="str">
        <f t="shared" si="4"/>
        <v>VIMSX</v>
      </c>
      <c r="BR38" s="4" t="str">
        <f t="shared" si="4"/>
        <v>NAESX</v>
      </c>
      <c r="BS38" s="4" t="str">
        <f t="shared" si="4"/>
        <v>VTRIX</v>
      </c>
      <c r="BT38" s="4" t="str">
        <f t="shared" si="4"/>
        <v>VGTSX</v>
      </c>
      <c r="BU38" s="4" t="str">
        <f t="shared" si="4"/>
        <v>VBMFX</v>
      </c>
      <c r="BV38" s="4" t="str">
        <f>AO38</f>
        <v>Total</v>
      </c>
    </row>
    <row r="39" spans="1:86"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6">S39/$Z39</f>
        <v>0.2</v>
      </c>
      <c r="AI39" s="6">
        <f t="shared" si="6"/>
        <v>0.3</v>
      </c>
      <c r="AJ39" s="23">
        <v>0.2</v>
      </c>
      <c r="AK39" s="23">
        <v>0.1</v>
      </c>
      <c r="AL39" s="6">
        <f t="shared" ref="AL39:AM54" si="7">W39/$Z39</f>
        <v>0.2</v>
      </c>
      <c r="AM39" s="23">
        <v>0.2</v>
      </c>
      <c r="AN39" s="6">
        <f>Y39/$Z39</f>
        <v>0.3</v>
      </c>
      <c r="AO39" s="6">
        <f>Z39/$Z39</f>
        <v>1</v>
      </c>
      <c r="AP39" s="24"/>
      <c r="AS39" s="21" t="str">
        <f>R39</f>
        <v>Stating Balance</v>
      </c>
      <c r="AT39" s="24">
        <f t="shared" si="3"/>
        <v>0.2</v>
      </c>
      <c r="AU39" s="24">
        <f t="shared" si="3"/>
        <v>0.3</v>
      </c>
      <c r="AV39" s="25">
        <f t="shared" si="3"/>
        <v>0.2</v>
      </c>
      <c r="AW39" s="25">
        <f t="shared" si="3"/>
        <v>0.1</v>
      </c>
      <c r="AX39" s="24">
        <f t="shared" si="3"/>
        <v>0.2</v>
      </c>
      <c r="AY39" s="25">
        <f t="shared" si="3"/>
        <v>0.2</v>
      </c>
      <c r="AZ39" s="24">
        <f t="shared" si="3"/>
        <v>0.3</v>
      </c>
      <c r="BA39" s="24">
        <f>BV39</f>
        <v>1</v>
      </c>
      <c r="BB39" s="2"/>
      <c r="BC39" s="2"/>
      <c r="BM39" s="24"/>
      <c r="BN39" s="21" t="str">
        <f t="shared" si="5"/>
        <v>Target Allocation</v>
      </c>
      <c r="BO39" s="24">
        <f t="shared" si="4"/>
        <v>0.2</v>
      </c>
      <c r="BP39" s="24">
        <f t="shared" si="4"/>
        <v>0.3</v>
      </c>
      <c r="BQ39" s="25">
        <f t="shared" si="4"/>
        <v>0.2</v>
      </c>
      <c r="BR39" s="25">
        <f t="shared" si="4"/>
        <v>0.1</v>
      </c>
      <c r="BS39" s="24">
        <f t="shared" si="4"/>
        <v>0.2</v>
      </c>
      <c r="BT39" s="25">
        <f t="shared" si="4"/>
        <v>0.2</v>
      </c>
      <c r="BU39" s="24">
        <f t="shared" si="4"/>
        <v>0.3</v>
      </c>
      <c r="BV39" s="24">
        <f>AO39</f>
        <v>1</v>
      </c>
    </row>
    <row r="40" spans="1:86" x14ac:dyDescent="0.25">
      <c r="A40">
        <f t="shared" ref="A40:A64" si="8">A4</f>
        <v>1993</v>
      </c>
      <c r="B40" s="2">
        <f t="shared" ref="B40:C40" si="9">B39*(1+(B4/100))</f>
        <v>21978</v>
      </c>
      <c r="C40" s="2">
        <f t="shared" si="9"/>
        <v>34347</v>
      </c>
      <c r="D40" s="2"/>
      <c r="E40" s="2"/>
      <c r="F40" s="2">
        <f t="shared" ref="F40" si="10">F39*(1+(F4/100))</f>
        <v>26098.799999999999</v>
      </c>
      <c r="G40" s="2"/>
      <c r="H40" s="2">
        <f t="shared" ref="H40" si="11">H39*(1+(H4/100))</f>
        <v>32904</v>
      </c>
      <c r="I40" s="2">
        <f>SUM(B40:H40)</f>
        <v>115327.8</v>
      </c>
      <c r="J40" s="2">
        <f>I40-I39</f>
        <v>15327.800000000003</v>
      </c>
      <c r="K40" s="6">
        <f>(J40/I39)</f>
        <v>0.15327800000000003</v>
      </c>
      <c r="L40" s="7">
        <f>K40+1</f>
        <v>1.153278</v>
      </c>
      <c r="N40">
        <f>A40</f>
        <v>1993</v>
      </c>
      <c r="O40" s="2">
        <f>I40*0.045</f>
        <v>5189.7510000000002</v>
      </c>
      <c r="P40" s="2"/>
      <c r="Q40" s="2"/>
      <c r="R40">
        <f>A40</f>
        <v>1993</v>
      </c>
      <c r="S40" s="2">
        <f>B40-($O40/4)</f>
        <v>20680.562249999999</v>
      </c>
      <c r="T40" s="2">
        <f>C40-($O40/4)</f>
        <v>33049.562250000003</v>
      </c>
      <c r="U40" s="2"/>
      <c r="V40" s="2"/>
      <c r="W40" s="2">
        <f t="shared" ref="W40:W43" si="12">F40-($O40/4)</f>
        <v>24801.362249999998</v>
      </c>
      <c r="X40" s="2"/>
      <c r="Y40" s="2">
        <f>H40-($O40/4)</f>
        <v>31606.562249999999</v>
      </c>
      <c r="Z40" s="2">
        <f>SUM(S40:Y40)</f>
        <v>110138.04900000001</v>
      </c>
      <c r="AA40" s="2">
        <f>Z40-Z39</f>
        <v>10138.049000000014</v>
      </c>
      <c r="AB40" s="6">
        <f>(AA40/Z39)</f>
        <v>0.10138049000000014</v>
      </c>
      <c r="AC40" s="7">
        <f>AB40+1</f>
        <v>1.1013804900000002</v>
      </c>
      <c r="AD40" s="2">
        <f>Z40-(I40-O40)</f>
        <v>0</v>
      </c>
      <c r="AE40" s="2"/>
      <c r="AG40">
        <f t="shared" ref="AG40:AG64" si="13">A40</f>
        <v>1993</v>
      </c>
      <c r="AH40" s="6">
        <f t="shared" si="6"/>
        <v>0.1877694623953253</v>
      </c>
      <c r="AI40" s="6">
        <f t="shared" si="6"/>
        <v>0.30007397579741041</v>
      </c>
      <c r="AJ40" s="7"/>
      <c r="AK40" s="7"/>
      <c r="AL40" s="6">
        <f t="shared" si="7"/>
        <v>0.22518432526437793</v>
      </c>
      <c r="AM40" s="7"/>
      <c r="AN40" s="6">
        <f t="shared" ref="AN40:AN64" si="14">Y40/$Z40</f>
        <v>0.28697223654288623</v>
      </c>
      <c r="AO40" s="6">
        <f>SUM(AH40:AN40)</f>
        <v>0.99999999999999978</v>
      </c>
      <c r="AP40" s="7">
        <f>SUM(AH40:AM40)</f>
        <v>0.71302776345711361</v>
      </c>
      <c r="AQ40" s="7">
        <f>AO40-(AP40+AN40)</f>
        <v>0</v>
      </c>
      <c r="AR40" s="7"/>
      <c r="AS40">
        <f>A40</f>
        <v>1993</v>
      </c>
      <c r="AT40" s="2">
        <f t="shared" ref="AT40:AU48" si="15">S40</f>
        <v>20680.562249999999</v>
      </c>
      <c r="AU40" s="2">
        <f t="shared" si="15"/>
        <v>33049.562250000003</v>
      </c>
      <c r="AV40" s="2"/>
      <c r="AW40" s="2"/>
      <c r="AX40" s="2">
        <f t="shared" ref="AX40:AY48" si="16">W40</f>
        <v>24801.362249999998</v>
      </c>
      <c r="AY40" s="2"/>
      <c r="AZ40" s="2">
        <f t="shared" ref="AZ40:BA55" si="17">Y40</f>
        <v>31606.562249999999</v>
      </c>
      <c r="BA40" s="2">
        <f t="shared" si="17"/>
        <v>110138.04900000001</v>
      </c>
      <c r="BB40" s="2">
        <f t="shared" ref="BB40:BB62" si="18">SUM(AT40:AZ40)-Z40</f>
        <v>0</v>
      </c>
      <c r="BC40" s="2"/>
      <c r="BM40" s="24"/>
      <c r="BN40">
        <f t="shared" si="5"/>
        <v>1993</v>
      </c>
      <c r="BO40" s="1" t="b">
        <f>AND((S40/$Z40)&gt;0.15,(S40/$Z40)&lt;0.25)</f>
        <v>1</v>
      </c>
      <c r="BP40" s="1" t="b">
        <f>AND((T40/$Z40)&gt;0.25,(T40/$Z40)&lt;0.35)</f>
        <v>1</v>
      </c>
      <c r="BS40" s="1" t="b">
        <f t="shared" ref="BS40:BS48" si="19">AND((W40/$Z40)&gt;0.15,(W40/$Z40)&lt;0.25)</f>
        <v>1</v>
      </c>
      <c r="BU40" s="1" t="b">
        <f>AND((Y40/$Z40)&gt;0.25,(Y40/$Z40)&lt;0.35)</f>
        <v>1</v>
      </c>
      <c r="BV40" s="1" t="b">
        <f>AND((Z40/$Z40)&gt;0.999,(Z40/$Z40)&lt;1.01)</f>
        <v>1</v>
      </c>
      <c r="CH40" s="2"/>
    </row>
    <row r="41" spans="1:86" x14ac:dyDescent="0.25">
      <c r="A41">
        <f t="shared" si="8"/>
        <v>1994</v>
      </c>
      <c r="B41" s="2">
        <f t="shared" ref="B41:B50" si="20">AT40*(1+(B5/100))</f>
        <v>20924.592884549998</v>
      </c>
      <c r="C41" s="2">
        <f t="shared" ref="C41:C45" si="21">AU40*(1+(C5/100))</f>
        <v>32466.567971910004</v>
      </c>
      <c r="D41" s="2"/>
      <c r="E41" s="2"/>
      <c r="F41" s="2">
        <f t="shared" ref="F41:G50" si="22">AX40*(1+(F5/100))</f>
        <v>26104.6738362375</v>
      </c>
      <c r="G41" s="2"/>
      <c r="H41" s="2">
        <f t="shared" ref="H41:H64" si="23">AZ40*(1+(H5/100))</f>
        <v>30765.827694150001</v>
      </c>
      <c r="I41" s="2">
        <f>SUM(B41:H41)</f>
        <v>110261.66238684751</v>
      </c>
      <c r="J41" s="2">
        <f t="shared" ref="J41:J64" si="24">I41-I40</f>
        <v>-5066.1376131524885</v>
      </c>
      <c r="K41" s="6">
        <f t="shared" ref="K41:K64" si="25">(J41/I40)</f>
        <v>-4.3928156204770127E-2</v>
      </c>
      <c r="L41" s="7">
        <f t="shared" ref="L41:L64" si="26">K41+1</f>
        <v>0.95607184379522991</v>
      </c>
      <c r="N41">
        <f t="shared" ref="N41:N64" si="27">A41</f>
        <v>1994</v>
      </c>
      <c r="O41" s="2">
        <f t="shared" ref="O41:O64" si="28">O40*(1+O5)</f>
        <v>5335.0640280000007</v>
      </c>
      <c r="P41" s="2"/>
      <c r="Q41" s="2"/>
      <c r="R41">
        <f t="shared" ref="R41:R64" si="29">A41</f>
        <v>1994</v>
      </c>
      <c r="S41" s="2">
        <f>B41-($O41/4)</f>
        <v>19590.826877549996</v>
      </c>
      <c r="T41" s="2">
        <f>C41-($O41/4)</f>
        <v>31132.801964910002</v>
      </c>
      <c r="U41" s="2"/>
      <c r="V41" s="2"/>
      <c r="W41" s="2">
        <f t="shared" si="12"/>
        <v>24770.907829237498</v>
      </c>
      <c r="X41" s="2"/>
      <c r="Y41" s="2">
        <f>H41-($O41/4)</f>
        <v>29432.061687150002</v>
      </c>
      <c r="Z41" s="2">
        <f>SUM(S41:Y41)</f>
        <v>104926.59835884749</v>
      </c>
      <c r="AA41" s="2">
        <f t="shared" ref="AA41:AA55" si="30">Z41-Z40</f>
        <v>-5211.4506411525217</v>
      </c>
      <c r="AB41" s="6">
        <f t="shared" ref="AB41:AB55" si="31">(AA41/Z40)</f>
        <v>-4.7317441052115612E-2</v>
      </c>
      <c r="AC41" s="7">
        <f t="shared" ref="AC41:AC64" si="32">AB41+1</f>
        <v>0.95268255894788434</v>
      </c>
      <c r="AD41" s="2">
        <f>Z41-(I41-O41)</f>
        <v>0</v>
      </c>
      <c r="AE41" s="2"/>
      <c r="AG41">
        <f t="shared" si="13"/>
        <v>1994</v>
      </c>
      <c r="AH41" s="6">
        <f t="shared" si="6"/>
        <v>0.18670982557301288</v>
      </c>
      <c r="AI41" s="6">
        <f t="shared" si="6"/>
        <v>0.29671029511922475</v>
      </c>
      <c r="AJ41" s="7"/>
      <c r="AK41" s="7"/>
      <c r="AL41" s="6">
        <f t="shared" si="7"/>
        <v>0.23607844165996253</v>
      </c>
      <c r="AM41" s="7"/>
      <c r="AN41" s="6">
        <f t="shared" si="14"/>
        <v>0.28050143764779989</v>
      </c>
      <c r="AO41" s="6">
        <f t="shared" ref="AO41:AO64" si="33">SUM(AH41:AN41)</f>
        <v>1</v>
      </c>
      <c r="AP41" s="7">
        <f t="shared" ref="AP41:AP64" si="34">SUM(AH41:AM41)</f>
        <v>0.71949856235220011</v>
      </c>
      <c r="AQ41" s="7">
        <f t="shared" ref="AQ41:AQ64" si="35">AO41-(AP41+AN41)</f>
        <v>0</v>
      </c>
      <c r="AR41" s="7"/>
      <c r="AS41">
        <f t="shared" ref="AS41:AS64" si="36">A41</f>
        <v>1994</v>
      </c>
      <c r="AT41" s="2">
        <f t="shared" si="15"/>
        <v>19590.826877549996</v>
      </c>
      <c r="AU41" s="2">
        <f t="shared" si="15"/>
        <v>31132.801964910002</v>
      </c>
      <c r="AV41" s="2"/>
      <c r="AW41" s="2"/>
      <c r="AX41" s="2">
        <f t="shared" si="16"/>
        <v>24770.907829237498</v>
      </c>
      <c r="AY41" s="2"/>
      <c r="AZ41" s="2">
        <f t="shared" si="17"/>
        <v>29432.061687150002</v>
      </c>
      <c r="BA41" s="2">
        <f t="shared" si="17"/>
        <v>104926.59835884749</v>
      </c>
      <c r="BB41" s="2">
        <f t="shared" si="18"/>
        <v>0</v>
      </c>
      <c r="BC41" s="2"/>
      <c r="BM41" s="24"/>
      <c r="BN41">
        <f t="shared" si="5"/>
        <v>1994</v>
      </c>
      <c r="BO41" s="1" t="b">
        <f t="shared" ref="BO41:BO64" si="37">AND((S41/$Z41)&gt;0.15,(S41/$Z41)&lt;0.25)</f>
        <v>1</v>
      </c>
      <c r="BP41" s="1" t="b">
        <f t="shared" ref="BP41:BP50" si="38">AND((T41/$Z41)&gt;0.25,(T41/$Z41)&lt;0.35)</f>
        <v>1</v>
      </c>
      <c r="BS41" s="1" t="b">
        <f t="shared" si="19"/>
        <v>1</v>
      </c>
      <c r="BU41" s="1" t="b">
        <f t="shared" ref="BU41:BU64" si="39">AND((Y41/$Z41)&gt;0.25,(Y41/$Z41)&lt;0.35)</f>
        <v>1</v>
      </c>
      <c r="BV41" s="1" t="b">
        <f t="shared" ref="BV41:BV64" si="40">AND((Z41/$Z41)&gt;0.999,(Z41/$Z41)&lt;1.01)</f>
        <v>1</v>
      </c>
      <c r="CH41" s="2"/>
    </row>
    <row r="42" spans="1:86" x14ac:dyDescent="0.25">
      <c r="A42">
        <f t="shared" si="8"/>
        <v>1995</v>
      </c>
      <c r="B42" s="2">
        <f t="shared" si="20"/>
        <v>26927.59154319247</v>
      </c>
      <c r="C42" s="2">
        <f t="shared" si="21"/>
        <v>41654.755044990634</v>
      </c>
      <c r="D42" s="2"/>
      <c r="E42" s="2"/>
      <c r="F42" s="2">
        <f t="shared" si="22"/>
        <v>27160.309598445747</v>
      </c>
      <c r="G42" s="2"/>
      <c r="H42" s="2">
        <f t="shared" si="23"/>
        <v>34782.810501873872</v>
      </c>
      <c r="I42" s="2">
        <f t="shared" ref="I42:I64" si="41">SUM(B42:H42)</f>
        <v>130525.46668850273</v>
      </c>
      <c r="J42" s="2">
        <f t="shared" si="24"/>
        <v>20263.804301655211</v>
      </c>
      <c r="K42" s="6">
        <f t="shared" si="25"/>
        <v>0.18377923806881008</v>
      </c>
      <c r="L42" s="7">
        <f t="shared" si="26"/>
        <v>1.1837792380688101</v>
      </c>
      <c r="N42">
        <f t="shared" si="27"/>
        <v>1995</v>
      </c>
      <c r="O42" s="2">
        <f t="shared" si="28"/>
        <v>5473.7756927280006</v>
      </c>
      <c r="P42" s="2"/>
      <c r="Q42" s="2"/>
      <c r="R42">
        <f t="shared" si="29"/>
        <v>1995</v>
      </c>
      <c r="S42" s="2">
        <f t="shared" ref="S42:T45" si="42">B42-($O42/4)</f>
        <v>25559.14762001047</v>
      </c>
      <c r="T42" s="2">
        <f t="shared" si="42"/>
        <v>40286.311121808634</v>
      </c>
      <c r="U42" s="2"/>
      <c r="V42" s="2"/>
      <c r="W42" s="2">
        <f t="shared" si="12"/>
        <v>25791.865675263747</v>
      </c>
      <c r="X42" s="2"/>
      <c r="Y42" s="2">
        <f t="shared" ref="Y42:Y45" si="43">H42-($O42/4)</f>
        <v>33414.366578691872</v>
      </c>
      <c r="Z42" s="2">
        <f t="shared" ref="Z42:Z64" si="44">SUM(S42:Y42)</f>
        <v>125051.69099577473</v>
      </c>
      <c r="AA42" s="2">
        <f t="shared" si="30"/>
        <v>20125.092636927235</v>
      </c>
      <c r="AB42" s="6">
        <f t="shared" si="31"/>
        <v>0.191801630394037</v>
      </c>
      <c r="AC42" s="7">
        <f t="shared" si="32"/>
        <v>1.1918016303940371</v>
      </c>
      <c r="AD42" s="2">
        <f t="shared" ref="AD42:AD64" si="45">Z42-(I42-O42)</f>
        <v>0</v>
      </c>
      <c r="AE42" s="2"/>
      <c r="AG42">
        <f t="shared" si="13"/>
        <v>1995</v>
      </c>
      <c r="AH42" s="6">
        <f t="shared" si="6"/>
        <v>0.20438866053297966</v>
      </c>
      <c r="AI42" s="6">
        <f t="shared" si="6"/>
        <v>0.3221572679346642</v>
      </c>
      <c r="AJ42" s="7"/>
      <c r="AK42" s="7"/>
      <c r="AL42" s="6">
        <f t="shared" si="7"/>
        <v>0.20624963540984989</v>
      </c>
      <c r="AM42" s="7"/>
      <c r="AN42" s="6">
        <f t="shared" si="14"/>
        <v>0.26720443612250622</v>
      </c>
      <c r="AO42" s="6">
        <f t="shared" si="33"/>
        <v>1</v>
      </c>
      <c r="AP42" s="7">
        <f t="shared" si="34"/>
        <v>0.73279556387749378</v>
      </c>
      <c r="AQ42" s="7">
        <f t="shared" si="35"/>
        <v>0</v>
      </c>
      <c r="AR42" s="7"/>
      <c r="AS42">
        <f t="shared" si="36"/>
        <v>1995</v>
      </c>
      <c r="AT42" s="2">
        <f t="shared" si="15"/>
        <v>25559.14762001047</v>
      </c>
      <c r="AU42" s="2">
        <f t="shared" si="15"/>
        <v>40286.311121808634</v>
      </c>
      <c r="AV42" s="2"/>
      <c r="AW42" s="2"/>
      <c r="AX42" s="2">
        <f t="shared" si="16"/>
        <v>25791.865675263747</v>
      </c>
      <c r="AY42" s="2"/>
      <c r="AZ42" s="2">
        <f t="shared" si="17"/>
        <v>33414.366578691872</v>
      </c>
      <c r="BA42" s="2">
        <f t="shared" si="17"/>
        <v>125051.69099577473</v>
      </c>
      <c r="BB42" s="2">
        <f t="shared" si="18"/>
        <v>0</v>
      </c>
      <c r="BC42" s="2"/>
      <c r="BM42" s="24"/>
      <c r="BN42">
        <f t="shared" si="5"/>
        <v>1995</v>
      </c>
      <c r="BO42" s="1" t="b">
        <f t="shared" si="37"/>
        <v>1</v>
      </c>
      <c r="BP42" s="1" t="b">
        <f t="shared" si="38"/>
        <v>1</v>
      </c>
      <c r="BS42" s="1" t="b">
        <f t="shared" si="19"/>
        <v>1</v>
      </c>
      <c r="BU42" s="1" t="b">
        <f t="shared" si="39"/>
        <v>1</v>
      </c>
      <c r="BV42" s="1" t="b">
        <f t="shared" si="40"/>
        <v>1</v>
      </c>
      <c r="CH42" s="2"/>
    </row>
    <row r="43" spans="1:86" x14ac:dyDescent="0.25">
      <c r="A43">
        <f t="shared" si="8"/>
        <v>1996</v>
      </c>
      <c r="B43" s="2">
        <f t="shared" si="20"/>
        <v>31407.080595468869</v>
      </c>
      <c r="C43" s="2">
        <f t="shared" si="21"/>
        <v>47395.6364454742</v>
      </c>
      <c r="D43" s="2"/>
      <c r="E43" s="2"/>
      <c r="F43" s="2">
        <f t="shared" si="22"/>
        <v>28427.536428618951</v>
      </c>
      <c r="G43" s="2"/>
      <c r="H43" s="2">
        <f t="shared" si="23"/>
        <v>34610.600902209044</v>
      </c>
      <c r="I43" s="2">
        <f t="shared" si="41"/>
        <v>141840.85437177104</v>
      </c>
      <c r="J43" s="2">
        <f t="shared" si="24"/>
        <v>11315.387683268316</v>
      </c>
      <c r="K43" s="6">
        <f t="shared" si="25"/>
        <v>8.6691034097371486E-2</v>
      </c>
      <c r="L43" s="7">
        <f t="shared" si="26"/>
        <v>1.0866910340973714</v>
      </c>
      <c r="N43">
        <f t="shared" si="27"/>
        <v>1996</v>
      </c>
      <c r="O43" s="2">
        <f t="shared" si="28"/>
        <v>5610.6200850462001</v>
      </c>
      <c r="P43" s="2"/>
      <c r="Q43" s="2"/>
      <c r="R43">
        <f t="shared" si="29"/>
        <v>1996</v>
      </c>
      <c r="S43" s="2">
        <f t="shared" si="42"/>
        <v>30004.425574207318</v>
      </c>
      <c r="T43" s="2">
        <f t="shared" si="42"/>
        <v>45992.981424212652</v>
      </c>
      <c r="U43" s="2"/>
      <c r="V43" s="2"/>
      <c r="W43" s="2">
        <f t="shared" si="12"/>
        <v>27024.881407357399</v>
      </c>
      <c r="X43" s="2"/>
      <c r="Y43" s="2">
        <f t="shared" si="43"/>
        <v>33207.945880947496</v>
      </c>
      <c r="Z43" s="2">
        <f t="shared" si="44"/>
        <v>136230.23428672488</v>
      </c>
      <c r="AA43" s="2">
        <f t="shared" si="30"/>
        <v>11178.543290950154</v>
      </c>
      <c r="AB43" s="6">
        <f t="shared" si="31"/>
        <v>8.9391380491830832E-2</v>
      </c>
      <c r="AC43" s="7">
        <f t="shared" si="32"/>
        <v>1.0893913804918309</v>
      </c>
      <c r="AD43" s="2">
        <f t="shared" si="45"/>
        <v>0</v>
      </c>
      <c r="AE43" s="2"/>
      <c r="AG43">
        <f t="shared" si="13"/>
        <v>1996</v>
      </c>
      <c r="AH43" s="6">
        <f t="shared" si="6"/>
        <v>0.22024791876270844</v>
      </c>
      <c r="AI43" s="6">
        <f t="shared" si="6"/>
        <v>0.33761214362599457</v>
      </c>
      <c r="AJ43" s="7"/>
      <c r="AK43" s="7"/>
      <c r="AL43" s="6">
        <f t="shared" si="7"/>
        <v>0.19837653182389683</v>
      </c>
      <c r="AM43" s="7"/>
      <c r="AN43" s="6">
        <f t="shared" si="14"/>
        <v>0.24376340578740005</v>
      </c>
      <c r="AO43" s="6">
        <f t="shared" si="33"/>
        <v>0.99999999999999989</v>
      </c>
      <c r="AP43" s="7">
        <f t="shared" si="34"/>
        <v>0.75623659421259981</v>
      </c>
      <c r="AQ43" s="7">
        <f t="shared" si="35"/>
        <v>0</v>
      </c>
      <c r="AR43" s="7"/>
      <c r="AS43">
        <f t="shared" si="36"/>
        <v>1996</v>
      </c>
      <c r="AT43" s="2">
        <f t="shared" si="15"/>
        <v>30004.425574207318</v>
      </c>
      <c r="AU43" s="2">
        <f t="shared" si="15"/>
        <v>45992.981424212652</v>
      </c>
      <c r="AV43" s="2"/>
      <c r="AW43" s="2"/>
      <c r="AX43" s="2">
        <f t="shared" si="16"/>
        <v>27024.881407357399</v>
      </c>
      <c r="AY43" s="2"/>
      <c r="AZ43" s="2">
        <f t="shared" si="17"/>
        <v>33207.945880947496</v>
      </c>
      <c r="BA43" s="2">
        <f t="shared" si="17"/>
        <v>136230.23428672488</v>
      </c>
      <c r="BB43" s="2">
        <f t="shared" si="18"/>
        <v>0</v>
      </c>
      <c r="BC43" s="2"/>
      <c r="BM43" s="24"/>
      <c r="BN43">
        <f t="shared" si="5"/>
        <v>1996</v>
      </c>
      <c r="BO43" s="1" t="b">
        <f t="shared" si="37"/>
        <v>1</v>
      </c>
      <c r="BP43" s="1" t="b">
        <f t="shared" si="38"/>
        <v>1</v>
      </c>
      <c r="BS43" s="1" t="b">
        <f t="shared" si="19"/>
        <v>1</v>
      </c>
      <c r="BU43" s="1" t="b">
        <f t="shared" si="39"/>
        <v>0</v>
      </c>
      <c r="BV43" s="1" t="b">
        <f t="shared" si="40"/>
        <v>1</v>
      </c>
      <c r="CH43" s="2"/>
    </row>
    <row r="44" spans="1:86" x14ac:dyDescent="0.25">
      <c r="A44">
        <f t="shared" si="8"/>
        <v>1997</v>
      </c>
      <c r="B44" s="2">
        <f t="shared" si="20"/>
        <v>39962.894422286729</v>
      </c>
      <c r="C44" s="2">
        <f t="shared" si="21"/>
        <v>58267.12837689228</v>
      </c>
      <c r="D44" s="2"/>
      <c r="E44" s="2"/>
      <c r="F44" s="2"/>
      <c r="G44" s="2">
        <f>AX43*(1+(G8/100))</f>
        <v>27024.881407357399</v>
      </c>
      <c r="H44" s="2">
        <f t="shared" si="23"/>
        <v>36342.775972108939</v>
      </c>
      <c r="I44" s="2">
        <f t="shared" si="41"/>
        <v>161597.68017864536</v>
      </c>
      <c r="J44" s="2">
        <f t="shared" si="24"/>
        <v>19756.825806874316</v>
      </c>
      <c r="K44" s="6">
        <f t="shared" si="25"/>
        <v>0.13928868304114142</v>
      </c>
      <c r="L44" s="7">
        <f t="shared" si="26"/>
        <v>1.1392886830411415</v>
      </c>
      <c r="N44">
        <f t="shared" si="27"/>
        <v>1997</v>
      </c>
      <c r="O44" s="2">
        <f t="shared" si="28"/>
        <v>5801.3811679377714</v>
      </c>
      <c r="P44" s="2"/>
      <c r="Q44" s="2"/>
      <c r="R44">
        <f t="shared" si="29"/>
        <v>1997</v>
      </c>
      <c r="S44" s="2">
        <f t="shared" si="42"/>
        <v>38512.549130302286</v>
      </c>
      <c r="T44" s="2">
        <f t="shared" si="42"/>
        <v>56816.783084907838</v>
      </c>
      <c r="U44" s="2"/>
      <c r="V44" s="2"/>
      <c r="W44" s="2"/>
      <c r="X44" s="2">
        <f>G44-($O44/4)</f>
        <v>25574.536115372957</v>
      </c>
      <c r="Y44" s="2">
        <f t="shared" si="43"/>
        <v>34892.430680124497</v>
      </c>
      <c r="Z44" s="2">
        <f t="shared" si="44"/>
        <v>155796.29901070759</v>
      </c>
      <c r="AA44" s="2">
        <f t="shared" si="30"/>
        <v>19566.064723982709</v>
      </c>
      <c r="AB44" s="6">
        <f t="shared" si="31"/>
        <v>0.14362498036083424</v>
      </c>
      <c r="AC44" s="7">
        <f t="shared" si="32"/>
        <v>1.1436249803608343</v>
      </c>
      <c r="AD44" s="2">
        <f t="shared" si="45"/>
        <v>0</v>
      </c>
      <c r="AE44" s="2"/>
      <c r="AG44">
        <f t="shared" si="13"/>
        <v>1997</v>
      </c>
      <c r="AH44" s="59">
        <f t="shared" si="6"/>
        <v>0.2471981001785889</v>
      </c>
      <c r="AI44" s="59">
        <f t="shared" si="6"/>
        <v>0.36468634650302523</v>
      </c>
      <c r="AJ44" s="60"/>
      <c r="AK44" s="60"/>
      <c r="AL44" s="59">
        <f t="shared" si="7"/>
        <v>0</v>
      </c>
      <c r="AM44" s="60"/>
      <c r="AN44" s="59">
        <f t="shared" si="14"/>
        <v>0.22396187137748635</v>
      </c>
      <c r="AO44" s="6">
        <f t="shared" si="33"/>
        <v>0.83584631805910048</v>
      </c>
      <c r="AP44" s="7">
        <f t="shared" si="34"/>
        <v>0.61188444668161412</v>
      </c>
      <c r="AQ44" s="7">
        <f t="shared" si="35"/>
        <v>0</v>
      </c>
      <c r="AR44" s="7"/>
      <c r="AS44">
        <f t="shared" si="36"/>
        <v>1997</v>
      </c>
      <c r="AT44" s="2">
        <f t="shared" si="15"/>
        <v>38512.549130302286</v>
      </c>
      <c r="AU44" s="2">
        <f t="shared" si="15"/>
        <v>56816.783084907838</v>
      </c>
      <c r="AV44" s="2"/>
      <c r="AW44" s="2"/>
      <c r="AX44" s="2"/>
      <c r="AY44" s="2">
        <f t="shared" si="16"/>
        <v>25574.536115372957</v>
      </c>
      <c r="AZ44" s="2">
        <f t="shared" si="17"/>
        <v>34892.430680124497</v>
      </c>
      <c r="BA44" s="2">
        <f t="shared" si="17"/>
        <v>155796.29901070759</v>
      </c>
      <c r="BB44" s="2">
        <f t="shared" si="18"/>
        <v>0</v>
      </c>
      <c r="BC44" s="2"/>
      <c r="BM44" s="24"/>
      <c r="BN44">
        <f t="shared" si="5"/>
        <v>1997</v>
      </c>
      <c r="BO44" s="1" t="b">
        <f t="shared" si="37"/>
        <v>1</v>
      </c>
      <c r="BP44" s="28" t="b">
        <f t="shared" si="38"/>
        <v>0</v>
      </c>
      <c r="BS44" s="28" t="b">
        <f t="shared" si="19"/>
        <v>0</v>
      </c>
      <c r="BU44" s="1" t="b">
        <f t="shared" si="39"/>
        <v>0</v>
      </c>
      <c r="BV44" s="1" t="b">
        <f t="shared" si="40"/>
        <v>1</v>
      </c>
      <c r="CH44" s="2"/>
    </row>
    <row r="45" spans="1:86" x14ac:dyDescent="0.25">
      <c r="A45">
        <f t="shared" si="8"/>
        <v>1998</v>
      </c>
      <c r="B45" s="2">
        <f t="shared" si="20"/>
        <v>49550.245711046919</v>
      </c>
      <c r="C45" s="2">
        <f t="shared" si="21"/>
        <v>61562.688975990197</v>
      </c>
      <c r="D45" s="2"/>
      <c r="E45" s="2"/>
      <c r="F45" s="2"/>
      <c r="G45" s="2">
        <f t="shared" si="22"/>
        <v>25574.536115372957</v>
      </c>
      <c r="H45" s="2">
        <f t="shared" si="23"/>
        <v>37886.201232479179</v>
      </c>
      <c r="I45" s="2">
        <f t="shared" si="41"/>
        <v>174573.67203488926</v>
      </c>
      <c r="J45" s="2">
        <f t="shared" si="24"/>
        <v>12975.991856243898</v>
      </c>
      <c r="K45" s="6">
        <f t="shared" si="25"/>
        <v>8.0298132014636661E-2</v>
      </c>
      <c r="L45" s="7">
        <f t="shared" si="26"/>
        <v>1.0802981320146368</v>
      </c>
      <c r="N45">
        <f t="shared" si="27"/>
        <v>1998</v>
      </c>
      <c r="O45" s="2">
        <f t="shared" si="28"/>
        <v>5900.0046477927126</v>
      </c>
      <c r="P45" s="2"/>
      <c r="Q45" s="2"/>
      <c r="R45">
        <f t="shared" si="29"/>
        <v>1998</v>
      </c>
      <c r="S45" s="2">
        <f t="shared" si="42"/>
        <v>48075.244549098737</v>
      </c>
      <c r="T45" s="2">
        <f t="shared" si="42"/>
        <v>60087.687814042016</v>
      </c>
      <c r="U45" s="2"/>
      <c r="V45" s="2"/>
      <c r="W45" s="2"/>
      <c r="X45" s="2">
        <f>G45-($O45/4)</f>
        <v>24099.53495342478</v>
      </c>
      <c r="Y45" s="2">
        <f t="shared" si="43"/>
        <v>36411.200070530998</v>
      </c>
      <c r="Z45" s="2">
        <f t="shared" si="44"/>
        <v>168673.6673870965</v>
      </c>
      <c r="AA45" s="2">
        <f t="shared" si="30"/>
        <v>12877.368376388913</v>
      </c>
      <c r="AB45" s="6">
        <f t="shared" si="31"/>
        <v>8.2655162273809049E-2</v>
      </c>
      <c r="AC45" s="7">
        <f t="shared" si="32"/>
        <v>1.082655162273809</v>
      </c>
      <c r="AD45" s="2">
        <f t="shared" si="45"/>
        <v>0</v>
      </c>
      <c r="AE45" s="2"/>
      <c r="AG45">
        <f t="shared" si="13"/>
        <v>1998</v>
      </c>
      <c r="AH45" s="59">
        <f t="shared" si="6"/>
        <v>0.28501926408446898</v>
      </c>
      <c r="AI45" s="59">
        <f t="shared" si="6"/>
        <v>0.3562363274887726</v>
      </c>
      <c r="AJ45" s="60"/>
      <c r="AK45" s="60"/>
      <c r="AL45" s="59">
        <f t="shared" si="7"/>
        <v>0</v>
      </c>
      <c r="AM45" s="60"/>
      <c r="AN45" s="59">
        <f t="shared" si="14"/>
        <v>0.21586772040101174</v>
      </c>
      <c r="AO45" s="6">
        <f t="shared" si="33"/>
        <v>0.8571233119742534</v>
      </c>
      <c r="AP45" s="7">
        <f t="shared" si="34"/>
        <v>0.64125559157324163</v>
      </c>
      <c r="AQ45" s="7">
        <f t="shared" si="35"/>
        <v>0</v>
      </c>
      <c r="AR45" s="7"/>
      <c r="AS45">
        <f t="shared" si="36"/>
        <v>1998</v>
      </c>
      <c r="AT45" s="2">
        <f t="shared" si="15"/>
        <v>48075.244549098737</v>
      </c>
      <c r="AU45" s="2">
        <f t="shared" si="15"/>
        <v>60087.687814042016</v>
      </c>
      <c r="AV45" s="2"/>
      <c r="AW45" s="2"/>
      <c r="AX45" s="2"/>
      <c r="AY45" s="2">
        <f t="shared" si="16"/>
        <v>24099.53495342478</v>
      </c>
      <c r="AZ45" s="2">
        <f t="shared" si="17"/>
        <v>36411.200070530998</v>
      </c>
      <c r="BA45" s="2">
        <f t="shared" si="17"/>
        <v>168673.6673870965</v>
      </c>
      <c r="BB45" s="2">
        <f t="shared" si="18"/>
        <v>0</v>
      </c>
      <c r="BC45" s="2"/>
      <c r="BM45" s="24"/>
      <c r="BN45">
        <f t="shared" si="5"/>
        <v>1998</v>
      </c>
      <c r="BO45" s="1" t="b">
        <f t="shared" si="37"/>
        <v>0</v>
      </c>
      <c r="BP45" s="1" t="b">
        <f t="shared" si="38"/>
        <v>0</v>
      </c>
      <c r="BS45" s="1" t="b">
        <f t="shared" si="19"/>
        <v>0</v>
      </c>
      <c r="BU45" s="1" t="b">
        <f t="shared" si="39"/>
        <v>0</v>
      </c>
      <c r="BV45" s="1" t="b">
        <f t="shared" si="40"/>
        <v>1</v>
      </c>
      <c r="CH45" s="2"/>
    </row>
    <row r="46" spans="1:86" x14ac:dyDescent="0.25">
      <c r="A46">
        <f t="shared" si="8"/>
        <v>1999</v>
      </c>
      <c r="B46" s="2">
        <f t="shared" si="20"/>
        <v>58204.698575593844</v>
      </c>
      <c r="C46" s="2"/>
      <c r="D46" s="2">
        <f>($AU45*0.67)*(1+(D10/100))</f>
        <v>40258.750835408151</v>
      </c>
      <c r="E46" s="2">
        <f>($AU45*0.33)*(1+(E10/100))</f>
        <v>19828.936978633865</v>
      </c>
      <c r="F46" s="2"/>
      <c r="G46" s="2">
        <f t="shared" si="22"/>
        <v>31309.874816139942</v>
      </c>
      <c r="H46" s="2">
        <f t="shared" si="23"/>
        <v>36134.474949994961</v>
      </c>
      <c r="I46" s="2">
        <f t="shared" si="41"/>
        <v>185736.73615577075</v>
      </c>
      <c r="J46" s="2">
        <f t="shared" si="24"/>
        <v>11163.064120881492</v>
      </c>
      <c r="K46" s="6">
        <f t="shared" si="25"/>
        <v>6.3944717383561181E-2</v>
      </c>
      <c r="L46" s="7">
        <f t="shared" si="26"/>
        <v>1.0639447173835612</v>
      </c>
      <c r="N46">
        <f t="shared" si="27"/>
        <v>1999</v>
      </c>
      <c r="O46" s="2">
        <f t="shared" si="28"/>
        <v>5994.4047221573965</v>
      </c>
      <c r="P46" s="2"/>
      <c r="Q46" s="2"/>
      <c r="R46">
        <f t="shared" si="29"/>
        <v>1999</v>
      </c>
      <c r="S46" s="2">
        <f t="shared" ref="S46:S49" si="46">B46-($O46/5)</f>
        <v>57005.817631162368</v>
      </c>
      <c r="T46" s="2"/>
      <c r="U46" s="2">
        <f>D46-($O46/5)</f>
        <v>39059.869890976668</v>
      </c>
      <c r="V46" s="2">
        <f>E46-($O46/5)</f>
        <v>18630.056034202385</v>
      </c>
      <c r="W46" s="2"/>
      <c r="X46" s="2">
        <f>G46-($O46/5)</f>
        <v>30110.993871708462</v>
      </c>
      <c r="Y46" s="2">
        <f t="shared" ref="Y46:Y49" si="47">H46-($O46/5)</f>
        <v>34935.594005563486</v>
      </c>
      <c r="Z46" s="2">
        <f t="shared" si="44"/>
        <v>179742.33143361338</v>
      </c>
      <c r="AA46" s="2">
        <f t="shared" si="30"/>
        <v>11068.664046516875</v>
      </c>
      <c r="AB46" s="6">
        <f t="shared" si="31"/>
        <v>6.5621766681072502E-2</v>
      </c>
      <c r="AC46" s="7">
        <f t="shared" si="32"/>
        <v>1.0656217666810726</v>
      </c>
      <c r="AD46" s="2">
        <f t="shared" si="45"/>
        <v>0</v>
      </c>
      <c r="AE46" s="2"/>
      <c r="AG46">
        <f t="shared" si="13"/>
        <v>1999</v>
      </c>
      <c r="AH46" s="6">
        <f t="shared" si="6"/>
        <v>0.31715298881731196</v>
      </c>
      <c r="AI46" s="6">
        <f t="shared" si="6"/>
        <v>0</v>
      </c>
      <c r="AJ46" s="7"/>
      <c r="AK46" s="7"/>
      <c r="AL46" s="6">
        <f t="shared" si="7"/>
        <v>0</v>
      </c>
      <c r="AM46" s="7"/>
      <c r="AN46" s="6">
        <f t="shared" si="14"/>
        <v>0.19436486512063916</v>
      </c>
      <c r="AO46" s="6">
        <f t="shared" si="33"/>
        <v>0.51151785393795113</v>
      </c>
      <c r="AP46" s="7">
        <f t="shared" si="34"/>
        <v>0.31715298881731196</v>
      </c>
      <c r="AQ46" s="7">
        <f t="shared" si="35"/>
        <v>0</v>
      </c>
      <c r="AR46" s="7"/>
      <c r="AS46">
        <f t="shared" si="36"/>
        <v>1999</v>
      </c>
      <c r="AT46" s="2">
        <f t="shared" si="15"/>
        <v>57005.817631162368</v>
      </c>
      <c r="AU46" s="2"/>
      <c r="AV46" s="2">
        <f t="shared" ref="AV46" si="48">U46</f>
        <v>39059.869890976668</v>
      </c>
      <c r="AW46" s="2">
        <f t="shared" ref="AW46" si="49">V46</f>
        <v>18630.056034202385</v>
      </c>
      <c r="AX46" s="2"/>
      <c r="AY46" s="2">
        <f t="shared" si="16"/>
        <v>30110.993871708462</v>
      </c>
      <c r="AZ46" s="2">
        <f t="shared" si="17"/>
        <v>34935.594005563486</v>
      </c>
      <c r="BA46" s="2">
        <f t="shared" si="17"/>
        <v>179742.33143361338</v>
      </c>
      <c r="BB46" s="2">
        <f t="shared" si="18"/>
        <v>0</v>
      </c>
      <c r="BC46" s="2"/>
      <c r="BM46" s="24"/>
      <c r="BN46">
        <f t="shared" si="5"/>
        <v>1999</v>
      </c>
      <c r="BO46" s="1" t="b">
        <f t="shared" si="37"/>
        <v>0</v>
      </c>
      <c r="BP46" s="1" t="b">
        <f t="shared" si="38"/>
        <v>0</v>
      </c>
      <c r="BS46" s="1" t="b">
        <f t="shared" si="19"/>
        <v>0</v>
      </c>
      <c r="BU46" s="1" t="b">
        <f t="shared" si="39"/>
        <v>0</v>
      </c>
      <c r="BV46" s="1" t="b">
        <f t="shared" si="40"/>
        <v>1</v>
      </c>
      <c r="CH46" s="2"/>
    </row>
    <row r="47" spans="1:86" x14ac:dyDescent="0.25">
      <c r="A47">
        <f t="shared" si="8"/>
        <v>2000</v>
      </c>
      <c r="B47" s="2">
        <f t="shared" si="20"/>
        <v>51841.09055377906</v>
      </c>
      <c r="C47" s="2"/>
      <c r="D47" s="2">
        <f t="shared" ref="D47" si="50">AV46*(1+(D11/100))</f>
        <v>39059.869890976668</v>
      </c>
      <c r="E47" s="2">
        <f t="shared" ref="E47" si="51">AW46*(1+(E11/100))</f>
        <v>18630.056034202385</v>
      </c>
      <c r="F47" s="2"/>
      <c r="G47" s="2">
        <f t="shared" si="22"/>
        <v>25409.463288579904</v>
      </c>
      <c r="H47" s="2">
        <f t="shared" si="23"/>
        <v>38914.758162797174</v>
      </c>
      <c r="I47" s="2">
        <f t="shared" si="41"/>
        <v>173855.23793033519</v>
      </c>
      <c r="J47" s="2">
        <f t="shared" si="24"/>
        <v>-11881.498225435556</v>
      </c>
      <c r="K47" s="6">
        <f t="shared" si="25"/>
        <v>-6.3969565048623278E-2</v>
      </c>
      <c r="L47" s="7">
        <f t="shared" si="26"/>
        <v>0.93603043495137672</v>
      </c>
      <c r="N47">
        <f t="shared" si="27"/>
        <v>2000</v>
      </c>
      <c r="O47" s="2">
        <f t="shared" si="28"/>
        <v>6156.2536496556459</v>
      </c>
      <c r="P47" s="2"/>
      <c r="Q47" s="2"/>
      <c r="R47">
        <f t="shared" si="29"/>
        <v>2000</v>
      </c>
      <c r="S47" s="2">
        <f t="shared" si="46"/>
        <v>50609.839823847928</v>
      </c>
      <c r="T47" s="2"/>
      <c r="U47" s="2">
        <f t="shared" ref="U47" si="52">D47-($O47/5)</f>
        <v>37828.619161045543</v>
      </c>
      <c r="V47" s="2">
        <f t="shared" ref="V47" si="53">E47-($O47/5)</f>
        <v>17398.805304271256</v>
      </c>
      <c r="W47" s="2"/>
      <c r="X47" s="2">
        <f t="shared" ref="X47:X49" si="54">G47-($O47/5)</f>
        <v>24178.212558648775</v>
      </c>
      <c r="Y47" s="2">
        <f t="shared" si="47"/>
        <v>37683.507432866041</v>
      </c>
      <c r="Z47" s="2">
        <f t="shared" si="44"/>
        <v>167698.98428067955</v>
      </c>
      <c r="AA47" s="2">
        <f t="shared" si="30"/>
        <v>-12043.347152933828</v>
      </c>
      <c r="AB47" s="6">
        <f t="shared" si="31"/>
        <v>-6.7003399015005863E-2</v>
      </c>
      <c r="AC47" s="7">
        <f t="shared" si="32"/>
        <v>0.93299660098499415</v>
      </c>
      <c r="AD47" s="2">
        <f t="shared" si="45"/>
        <v>0</v>
      </c>
      <c r="AE47" s="2"/>
      <c r="AG47">
        <f t="shared" si="13"/>
        <v>2000</v>
      </c>
      <c r="AH47" s="6">
        <f t="shared" si="6"/>
        <v>0.30178978150005792</v>
      </c>
      <c r="AI47" s="6">
        <f t="shared" si="6"/>
        <v>0</v>
      </c>
      <c r="AJ47" s="7"/>
      <c r="AK47" s="7"/>
      <c r="AL47" s="6">
        <f t="shared" si="7"/>
        <v>0</v>
      </c>
      <c r="AM47" s="7"/>
      <c r="AN47" s="6">
        <f t="shared" si="14"/>
        <v>0.2247092169013663</v>
      </c>
      <c r="AO47" s="6">
        <f t="shared" si="33"/>
        <v>0.52649899840142422</v>
      </c>
      <c r="AP47" s="7">
        <f t="shared" si="34"/>
        <v>0.30178978150005792</v>
      </c>
      <c r="AQ47" s="7">
        <f t="shared" si="35"/>
        <v>0</v>
      </c>
      <c r="AR47" s="7"/>
      <c r="AS47">
        <f t="shared" si="36"/>
        <v>2000</v>
      </c>
      <c r="AT47" s="2">
        <f t="shared" si="15"/>
        <v>50609.839823847928</v>
      </c>
      <c r="AU47" s="2"/>
      <c r="AV47" s="2">
        <f t="shared" ref="AV47" si="55">U47</f>
        <v>37828.619161045543</v>
      </c>
      <c r="AW47" s="2">
        <f t="shared" ref="AW47" si="56">V47</f>
        <v>17398.805304271256</v>
      </c>
      <c r="AX47" s="2"/>
      <c r="AY47" s="2">
        <f t="shared" si="16"/>
        <v>24178.212558648775</v>
      </c>
      <c r="AZ47" s="2">
        <f t="shared" si="17"/>
        <v>37683.507432866041</v>
      </c>
      <c r="BA47" s="2">
        <f t="shared" si="17"/>
        <v>167698.98428067955</v>
      </c>
      <c r="BB47" s="2">
        <f t="shared" si="18"/>
        <v>0</v>
      </c>
      <c r="BC47" s="2"/>
      <c r="BM47" s="24"/>
      <c r="BN47">
        <f t="shared" si="5"/>
        <v>2000</v>
      </c>
      <c r="BO47" s="1" t="b">
        <f t="shared" si="37"/>
        <v>0</v>
      </c>
      <c r="BP47" s="1" t="b">
        <f t="shared" si="38"/>
        <v>0</v>
      </c>
      <c r="BS47" s="1" t="b">
        <f t="shared" si="19"/>
        <v>0</v>
      </c>
      <c r="BU47" s="1" t="b">
        <f t="shared" si="39"/>
        <v>0</v>
      </c>
      <c r="BV47" s="1" t="b">
        <f t="shared" si="40"/>
        <v>1</v>
      </c>
      <c r="CH47" s="2"/>
    </row>
    <row r="48" spans="1:86" x14ac:dyDescent="0.25">
      <c r="A48">
        <f t="shared" si="8"/>
        <v>2001</v>
      </c>
      <c r="B48" s="2">
        <f t="shared" si="20"/>
        <v>44526.537077021407</v>
      </c>
      <c r="C48" s="2"/>
      <c r="D48" s="2">
        <f t="shared" ref="D48:D51" si="57">AV47*(1+(D12/100))</f>
        <v>37639.854351431924</v>
      </c>
      <c r="E48" s="2">
        <f t="shared" ref="E48:E51" si="58">AW47*(1+(E12/100))</f>
        <v>17938.168268703663</v>
      </c>
      <c r="F48" s="2"/>
      <c r="G48" s="2">
        <f t="shared" si="22"/>
        <v>19305.577381704286</v>
      </c>
      <c r="H48" s="2">
        <f t="shared" si="23"/>
        <v>40860.227109456653</v>
      </c>
      <c r="I48" s="2">
        <f t="shared" si="41"/>
        <v>160270.36418831791</v>
      </c>
      <c r="J48" s="2">
        <f t="shared" si="24"/>
        <v>-13584.873742017284</v>
      </c>
      <c r="K48" s="6">
        <f t="shared" si="25"/>
        <v>-7.8138996004600225E-2</v>
      </c>
      <c r="L48" s="7">
        <f t="shared" si="26"/>
        <v>0.92186100399539983</v>
      </c>
      <c r="N48">
        <f t="shared" si="27"/>
        <v>2001</v>
      </c>
      <c r="O48" s="2">
        <f t="shared" si="28"/>
        <v>6365.5662737439379</v>
      </c>
      <c r="P48" s="2"/>
      <c r="Q48" s="2"/>
      <c r="R48">
        <f t="shared" si="29"/>
        <v>2001</v>
      </c>
      <c r="S48" s="2">
        <f t="shared" si="46"/>
        <v>43253.42382227262</v>
      </c>
      <c r="T48" s="2"/>
      <c r="U48" s="2">
        <f t="shared" ref="U48:U52" si="59">D48-($O48/5)</f>
        <v>36366.741096683138</v>
      </c>
      <c r="V48" s="2">
        <f t="shared" ref="V48:V52" si="60">E48-($O48/5)</f>
        <v>16665.055013954876</v>
      </c>
      <c r="W48" s="2"/>
      <c r="X48" s="2">
        <f t="shared" si="54"/>
        <v>18032.4641269555</v>
      </c>
      <c r="Y48" s="2">
        <f t="shared" si="47"/>
        <v>39587.113854707866</v>
      </c>
      <c r="Z48" s="2">
        <f t="shared" si="44"/>
        <v>153904.79791457401</v>
      </c>
      <c r="AA48" s="2">
        <f t="shared" si="30"/>
        <v>-13794.186366105539</v>
      </c>
      <c r="AB48" s="6">
        <f t="shared" si="31"/>
        <v>-8.2255634554220469E-2</v>
      </c>
      <c r="AC48" s="7">
        <f t="shared" si="32"/>
        <v>0.91774436544577953</v>
      </c>
      <c r="AD48" s="2">
        <f t="shared" si="45"/>
        <v>0</v>
      </c>
      <c r="AE48" s="2"/>
      <c r="AG48">
        <f t="shared" si="13"/>
        <v>2001</v>
      </c>
      <c r="AH48" s="6">
        <f t="shared" si="6"/>
        <v>0.28104012615825502</v>
      </c>
      <c r="AI48" s="6">
        <f t="shared" si="6"/>
        <v>0</v>
      </c>
      <c r="AJ48" s="7"/>
      <c r="AK48" s="7"/>
      <c r="AL48" s="6">
        <f t="shared" si="7"/>
        <v>0</v>
      </c>
      <c r="AM48" s="6"/>
      <c r="AN48" s="6">
        <f t="shared" si="14"/>
        <v>0.25721819196748491</v>
      </c>
      <c r="AO48" s="6">
        <f t="shared" si="33"/>
        <v>0.53825831812573988</v>
      </c>
      <c r="AP48" s="7">
        <f t="shared" si="34"/>
        <v>0.28104012615825502</v>
      </c>
      <c r="AQ48" s="7">
        <f t="shared" si="35"/>
        <v>0</v>
      </c>
      <c r="AR48" s="7"/>
      <c r="AS48">
        <f t="shared" si="36"/>
        <v>2001</v>
      </c>
      <c r="AT48" s="2">
        <f t="shared" si="15"/>
        <v>43253.42382227262</v>
      </c>
      <c r="AU48" s="2"/>
      <c r="AV48" s="2">
        <f t="shared" ref="AV48" si="61">U48</f>
        <v>36366.741096683138</v>
      </c>
      <c r="AW48" s="2">
        <f t="shared" ref="AW48" si="62">V48</f>
        <v>16665.055013954876</v>
      </c>
      <c r="AX48" s="2"/>
      <c r="AY48" s="2">
        <f t="shared" si="16"/>
        <v>18032.4641269555</v>
      </c>
      <c r="AZ48" s="2">
        <f t="shared" si="17"/>
        <v>39587.113854707866</v>
      </c>
      <c r="BA48" s="2">
        <f t="shared" si="17"/>
        <v>153904.79791457401</v>
      </c>
      <c r="BB48" s="2">
        <f t="shared" si="18"/>
        <v>0</v>
      </c>
      <c r="BC48" s="2"/>
      <c r="BM48" s="24"/>
      <c r="BN48">
        <f t="shared" si="5"/>
        <v>2001</v>
      </c>
      <c r="BO48" s="1" t="b">
        <f t="shared" si="37"/>
        <v>0</v>
      </c>
      <c r="BP48" s="1" t="b">
        <f t="shared" si="38"/>
        <v>0</v>
      </c>
      <c r="BS48" s="1" t="b">
        <f t="shared" si="19"/>
        <v>0</v>
      </c>
      <c r="BU48" s="28" t="b">
        <f t="shared" si="39"/>
        <v>1</v>
      </c>
      <c r="BV48" s="1" t="b">
        <f t="shared" si="40"/>
        <v>1</v>
      </c>
      <c r="CH48" s="2"/>
    </row>
    <row r="49" spans="1:86" x14ac:dyDescent="0.25">
      <c r="A49">
        <f t="shared" si="8"/>
        <v>2002</v>
      </c>
      <c r="B49" s="2">
        <f t="shared" si="20"/>
        <v>33672.790445639235</v>
      </c>
      <c r="C49" s="2"/>
      <c r="D49" s="2">
        <f t="shared" si="57"/>
        <v>31054.287557279666</v>
      </c>
      <c r="E49" s="2">
        <f t="shared" si="58"/>
        <v>13328.377699060831</v>
      </c>
      <c r="F49" s="2"/>
      <c r="G49" s="2">
        <f t="shared" si="22"/>
        <v>15312.627562686801</v>
      </c>
      <c r="H49" s="2">
        <f t="shared" si="23"/>
        <v>42857.009459106739</v>
      </c>
      <c r="I49" s="2">
        <f t="shared" si="41"/>
        <v>136225.09272377327</v>
      </c>
      <c r="J49" s="2">
        <f t="shared" si="24"/>
        <v>-24045.271464544639</v>
      </c>
      <c r="K49" s="6">
        <f t="shared" si="25"/>
        <v>-0.15002943049590511</v>
      </c>
      <c r="L49" s="7">
        <f t="shared" si="26"/>
        <v>0.84997056950409489</v>
      </c>
      <c r="N49">
        <f t="shared" si="27"/>
        <v>2002</v>
      </c>
      <c r="O49" s="2">
        <f t="shared" si="28"/>
        <v>6467.4153341238407</v>
      </c>
      <c r="P49" s="2"/>
      <c r="Q49" s="2"/>
      <c r="R49">
        <f t="shared" si="29"/>
        <v>2002</v>
      </c>
      <c r="S49" s="2">
        <f t="shared" si="46"/>
        <v>32379.307378814468</v>
      </c>
      <c r="T49" s="2"/>
      <c r="U49" s="2">
        <f t="shared" si="59"/>
        <v>29760.804490454899</v>
      </c>
      <c r="V49" s="2">
        <f t="shared" si="60"/>
        <v>12034.894632236063</v>
      </c>
      <c r="W49" s="2"/>
      <c r="X49" s="2">
        <f t="shared" si="54"/>
        <v>14019.144495862032</v>
      </c>
      <c r="Y49" s="2">
        <f t="shared" si="47"/>
        <v>41563.526392281972</v>
      </c>
      <c r="Z49" s="2">
        <f t="shared" si="44"/>
        <v>129757.67738964943</v>
      </c>
      <c r="AA49" s="2">
        <f t="shared" si="30"/>
        <v>-24147.120524924583</v>
      </c>
      <c r="AB49" s="6">
        <f t="shared" si="31"/>
        <v>-0.15689647660190309</v>
      </c>
      <c r="AC49" s="7">
        <f t="shared" si="32"/>
        <v>0.84310352339809691</v>
      </c>
      <c r="AD49" s="2">
        <f t="shared" si="45"/>
        <v>0</v>
      </c>
      <c r="AE49" s="2"/>
      <c r="AG49">
        <f t="shared" si="13"/>
        <v>2002</v>
      </c>
      <c r="AH49" s="6">
        <f t="shared" si="6"/>
        <v>0.24953673670947901</v>
      </c>
      <c r="AI49" s="6">
        <f t="shared" si="6"/>
        <v>0</v>
      </c>
      <c r="AJ49" s="7"/>
      <c r="AK49" s="7"/>
      <c r="AL49" s="6"/>
      <c r="AM49" s="6">
        <f t="shared" si="7"/>
        <v>0.10804096357060965</v>
      </c>
      <c r="AN49" s="6">
        <f t="shared" si="14"/>
        <v>0.32031651019361906</v>
      </c>
      <c r="AO49" s="6">
        <f t="shared" si="33"/>
        <v>0.67789421047370779</v>
      </c>
      <c r="AP49" s="7">
        <f t="shared" si="34"/>
        <v>0.35757770028008867</v>
      </c>
      <c r="AQ49" s="7">
        <f t="shared" si="35"/>
        <v>0</v>
      </c>
      <c r="AR49" s="7"/>
      <c r="AS49">
        <f t="shared" si="36"/>
        <v>2002</v>
      </c>
      <c r="AT49" s="40">
        <v>0</v>
      </c>
      <c r="AU49" s="63"/>
      <c r="AV49" s="40">
        <v>0</v>
      </c>
      <c r="AW49" s="40">
        <v>0</v>
      </c>
      <c r="AX49" s="63"/>
      <c r="AY49" s="40">
        <v>0</v>
      </c>
      <c r="AZ49" s="40">
        <f>Z49</f>
        <v>129757.67738964943</v>
      </c>
      <c r="BA49" s="2">
        <f t="shared" si="17"/>
        <v>129757.67738964943</v>
      </c>
      <c r="BB49" s="2">
        <f t="shared" si="18"/>
        <v>0</v>
      </c>
      <c r="BC49" s="2"/>
      <c r="BM49" s="24"/>
      <c r="BN49">
        <f t="shared" si="5"/>
        <v>2002</v>
      </c>
      <c r="BO49" s="1" t="b">
        <f t="shared" si="37"/>
        <v>1</v>
      </c>
      <c r="BP49" s="1" t="b">
        <f t="shared" si="38"/>
        <v>0</v>
      </c>
      <c r="BS49" s="1"/>
      <c r="BT49" s="1" t="b">
        <f t="shared" ref="BT49:BT64" si="63">AND((X49/$Z49)&gt;0.15,(X49/$Z49)&lt;0.25)</f>
        <v>0</v>
      </c>
      <c r="BU49" s="1" t="b">
        <f t="shared" si="39"/>
        <v>1</v>
      </c>
      <c r="BV49" s="1" t="b">
        <f t="shared" si="40"/>
        <v>1</v>
      </c>
      <c r="CH49" s="2"/>
    </row>
    <row r="50" spans="1:86" x14ac:dyDescent="0.25">
      <c r="A50">
        <f t="shared" si="8"/>
        <v>2003</v>
      </c>
      <c r="B50" s="2">
        <f t="shared" si="20"/>
        <v>0</v>
      </c>
      <c r="C50" s="2"/>
      <c r="D50" s="2">
        <f t="shared" si="57"/>
        <v>0</v>
      </c>
      <c r="E50" s="2">
        <f t="shared" si="58"/>
        <v>0</v>
      </c>
      <c r="F50" s="2"/>
      <c r="G50" s="2">
        <f t="shared" si="22"/>
        <v>0</v>
      </c>
      <c r="H50" s="2">
        <f t="shared" si="23"/>
        <v>134909.05718201853</v>
      </c>
      <c r="I50" s="2">
        <f t="shared" si="41"/>
        <v>134909.05718201853</v>
      </c>
      <c r="J50" s="2">
        <f t="shared" si="24"/>
        <v>-1316.0355417547398</v>
      </c>
      <c r="K50" s="6">
        <f t="shared" si="25"/>
        <v>-9.6607424920113292E-3</v>
      </c>
      <c r="L50" s="7">
        <f t="shared" si="26"/>
        <v>0.99033925750798868</v>
      </c>
      <c r="N50">
        <f t="shared" si="27"/>
        <v>2003</v>
      </c>
      <c r="O50" s="2">
        <f t="shared" si="28"/>
        <v>6629.1007174769366</v>
      </c>
      <c r="P50" s="2"/>
      <c r="Q50" s="2"/>
      <c r="R50">
        <f t="shared" si="29"/>
        <v>2003</v>
      </c>
      <c r="S50" s="2">
        <f>B50-(0)</f>
        <v>0</v>
      </c>
      <c r="T50" s="2"/>
      <c r="U50" s="2">
        <f>D50-(0)</f>
        <v>0</v>
      </c>
      <c r="V50" s="2">
        <f>E50-(0)</f>
        <v>0</v>
      </c>
      <c r="W50" s="2"/>
      <c r="X50" s="2">
        <f>G50-(0)</f>
        <v>0</v>
      </c>
      <c r="Y50" s="2">
        <f>H50-($O50)</f>
        <v>128279.9564645416</v>
      </c>
      <c r="Z50" s="2">
        <f t="shared" si="44"/>
        <v>128279.9564645416</v>
      </c>
      <c r="AA50" s="2">
        <f t="shared" si="30"/>
        <v>-1477.7209251078311</v>
      </c>
      <c r="AB50" s="6">
        <f t="shared" si="31"/>
        <v>-1.1388312081684246E-2</v>
      </c>
      <c r="AC50" s="7">
        <f t="shared" si="32"/>
        <v>0.98861168791831577</v>
      </c>
      <c r="AD50" s="2">
        <f t="shared" si="45"/>
        <v>0</v>
      </c>
      <c r="AE50" s="2"/>
      <c r="AG50">
        <f t="shared" si="13"/>
        <v>2003</v>
      </c>
      <c r="AH50" s="6">
        <f t="shared" si="6"/>
        <v>0</v>
      </c>
      <c r="AI50" s="6">
        <f t="shared" si="6"/>
        <v>0</v>
      </c>
      <c r="AJ50" s="7"/>
      <c r="AK50" s="7"/>
      <c r="AL50" s="7"/>
      <c r="AM50" s="6">
        <f t="shared" si="7"/>
        <v>0</v>
      </c>
      <c r="AN50" s="6">
        <f t="shared" si="14"/>
        <v>1</v>
      </c>
      <c r="AO50" s="6">
        <f t="shared" si="33"/>
        <v>1</v>
      </c>
      <c r="AP50" s="7">
        <f t="shared" si="34"/>
        <v>0</v>
      </c>
      <c r="AQ50" s="7">
        <f t="shared" si="35"/>
        <v>0</v>
      </c>
      <c r="AR50" s="7"/>
      <c r="AS50">
        <f t="shared" si="36"/>
        <v>2003</v>
      </c>
      <c r="AT50" s="40">
        <f>$Z50*AT$39</f>
        <v>25655.991292908322</v>
      </c>
      <c r="AU50" s="40"/>
      <c r="AV50" s="40">
        <f>$Z50*AV$39</f>
        <v>25655.991292908322</v>
      </c>
      <c r="AW50" s="40">
        <f>$Z50*AW$39</f>
        <v>12827.995646454161</v>
      </c>
      <c r="AX50" s="40"/>
      <c r="AY50" s="40">
        <f>$Z50*AY$39</f>
        <v>25655.991292908322</v>
      </c>
      <c r="AZ50" s="40">
        <f>$Z50*AZ$39</f>
        <v>38483.986939362476</v>
      </c>
      <c r="BA50" s="2">
        <f t="shared" si="17"/>
        <v>128279.9564645416</v>
      </c>
      <c r="BB50" s="2">
        <f t="shared" si="18"/>
        <v>0</v>
      </c>
      <c r="BC50" s="2"/>
      <c r="BM50" s="24"/>
      <c r="BN50">
        <f t="shared" si="5"/>
        <v>2003</v>
      </c>
      <c r="BO50" s="28" t="b">
        <f t="shared" si="37"/>
        <v>0</v>
      </c>
      <c r="BP50" s="1" t="b">
        <f t="shared" si="38"/>
        <v>0</v>
      </c>
      <c r="BT50" s="1" t="b">
        <f t="shared" si="63"/>
        <v>0</v>
      </c>
      <c r="BU50" s="1" t="b">
        <f t="shared" si="39"/>
        <v>0</v>
      </c>
      <c r="BV50" s="1" t="b">
        <f t="shared" si="40"/>
        <v>1</v>
      </c>
      <c r="CH50" s="2"/>
    </row>
    <row r="51" spans="1:86" x14ac:dyDescent="0.25">
      <c r="A51">
        <f t="shared" si="8"/>
        <v>2004</v>
      </c>
      <c r="B51" s="2">
        <f t="shared" ref="B51:B64" si="64">AT50*(1+(B15/100))</f>
        <v>28411.444757766676</v>
      </c>
      <c r="C51" s="2"/>
      <c r="D51" s="2">
        <f t="shared" si="57"/>
        <v>30877.755200753953</v>
      </c>
      <c r="E51" s="2">
        <f t="shared" si="58"/>
        <v>15380.381940229146</v>
      </c>
      <c r="F51" s="2"/>
      <c r="G51" s="2">
        <f t="shared" ref="G51:G64" si="65">AY50*(1+(G15/100))</f>
        <v>31001.930198611626</v>
      </c>
      <c r="H51" s="2">
        <f t="shared" si="23"/>
        <v>40115.707985591442</v>
      </c>
      <c r="I51" s="2">
        <f t="shared" si="41"/>
        <v>145787.22008295284</v>
      </c>
      <c r="J51" s="2">
        <f t="shared" si="24"/>
        <v>10878.162900934316</v>
      </c>
      <c r="K51" s="6">
        <f t="shared" si="25"/>
        <v>8.0633303116614041E-2</v>
      </c>
      <c r="L51" s="7">
        <f t="shared" si="26"/>
        <v>1.080633303116614</v>
      </c>
      <c r="N51">
        <f t="shared" si="27"/>
        <v>2004</v>
      </c>
      <c r="O51" s="2">
        <f t="shared" si="28"/>
        <v>6761.682731826475</v>
      </c>
      <c r="P51" s="2"/>
      <c r="Q51" s="2"/>
      <c r="R51">
        <f t="shared" si="29"/>
        <v>2004</v>
      </c>
      <c r="S51" s="2">
        <f>B51-($O51/5)</f>
        <v>27059.108211401381</v>
      </c>
      <c r="T51" s="2"/>
      <c r="U51" s="2">
        <f t="shared" si="59"/>
        <v>29525.418654388657</v>
      </c>
      <c r="V51" s="2">
        <f t="shared" si="60"/>
        <v>14028.045393863851</v>
      </c>
      <c r="W51" s="2"/>
      <c r="X51" s="2">
        <f>G51-($O51/5)</f>
        <v>29649.593652246331</v>
      </c>
      <c r="Y51" s="2">
        <f>H51-($O51/5)</f>
        <v>38763.371439226146</v>
      </c>
      <c r="Z51" s="2">
        <f t="shared" si="44"/>
        <v>139025.53735112638</v>
      </c>
      <c r="AA51" s="2">
        <f t="shared" si="30"/>
        <v>10745.580886584779</v>
      </c>
      <c r="AB51" s="6">
        <f t="shared" si="31"/>
        <v>8.3766639642998408E-2</v>
      </c>
      <c r="AC51" s="7">
        <f t="shared" si="32"/>
        <v>1.0837666396429984</v>
      </c>
      <c r="AD51" s="2">
        <f t="shared" si="45"/>
        <v>0</v>
      </c>
      <c r="AE51" s="2"/>
      <c r="AG51">
        <f t="shared" si="13"/>
        <v>2004</v>
      </c>
      <c r="AH51" s="6">
        <f t="shared" si="6"/>
        <v>0.19463408469380858</v>
      </c>
      <c r="AI51" s="7"/>
      <c r="AJ51" s="6">
        <f t="shared" ref="AJ51:AK64" si="66">U51/$Z51</f>
        <v>0.2123740660668588</v>
      </c>
      <c r="AK51" s="6">
        <f t="shared" si="66"/>
        <v>0.10090265185189876</v>
      </c>
      <c r="AL51" s="7"/>
      <c r="AM51" s="6">
        <f t="shared" si="7"/>
        <v>0.21326724727819305</v>
      </c>
      <c r="AN51" s="6">
        <f t="shared" si="14"/>
        <v>0.27882195010924077</v>
      </c>
      <c r="AO51" s="6">
        <f t="shared" si="33"/>
        <v>1</v>
      </c>
      <c r="AP51" s="7">
        <f t="shared" si="34"/>
        <v>0.72117804989075918</v>
      </c>
      <c r="AQ51" s="7">
        <f t="shared" si="35"/>
        <v>0</v>
      </c>
      <c r="AR51" s="7"/>
      <c r="AS51">
        <f t="shared" si="36"/>
        <v>2004</v>
      </c>
      <c r="AT51" s="2">
        <f t="shared" ref="AT51" si="67">S51</f>
        <v>27059.108211401381</v>
      </c>
      <c r="AU51" s="2"/>
      <c r="AV51" s="2">
        <f t="shared" ref="AV51" si="68">U51</f>
        <v>29525.418654388657</v>
      </c>
      <c r="AW51" s="2">
        <f t="shared" ref="AW51" si="69">V51</f>
        <v>14028.045393863851</v>
      </c>
      <c r="AX51" s="2"/>
      <c r="AY51" s="2">
        <f t="shared" ref="AY51" si="70">X51</f>
        <v>29649.593652246331</v>
      </c>
      <c r="AZ51" s="2">
        <f t="shared" ref="AZ51" si="71">Y51</f>
        <v>38763.371439226146</v>
      </c>
      <c r="BA51" s="2">
        <f t="shared" si="17"/>
        <v>139025.53735112638</v>
      </c>
      <c r="BB51" s="2">
        <f t="shared" si="18"/>
        <v>0</v>
      </c>
      <c r="BC51" s="2"/>
      <c r="BM51" s="24"/>
      <c r="BN51">
        <f t="shared" si="5"/>
        <v>2004</v>
      </c>
      <c r="BO51" s="1" t="b">
        <f t="shared" si="37"/>
        <v>1</v>
      </c>
      <c r="BQ51" s="1" t="b">
        <f>AND((U51/$Z51)&gt;0.15,(U51/$Z51)&lt;0.25)</f>
        <v>1</v>
      </c>
      <c r="BR51" s="1" t="b">
        <f>AND((V51/$Z51)&gt;0.05,(V51/$Z51)&lt;0.15)</f>
        <v>1</v>
      </c>
      <c r="BT51" s="1" t="b">
        <f t="shared" si="63"/>
        <v>1</v>
      </c>
      <c r="BU51" s="1" t="b">
        <f t="shared" si="39"/>
        <v>1</v>
      </c>
      <c r="BV51" s="1" t="b">
        <f t="shared" si="40"/>
        <v>1</v>
      </c>
      <c r="CH51" s="2"/>
    </row>
    <row r="52" spans="1:86" x14ac:dyDescent="0.25">
      <c r="A52">
        <f t="shared" si="8"/>
        <v>2005</v>
      </c>
      <c r="B52" s="2">
        <f t="shared" si="64"/>
        <v>28349.82767308523</v>
      </c>
      <c r="C52" s="2"/>
      <c r="D52" s="2">
        <f t="shared" ref="D52:D64" si="72">AV51*(1+(D16/100))</f>
        <v>33638.60472713154</v>
      </c>
      <c r="E52" s="2">
        <f t="shared" ref="E52:E64" si="73">AW51*(1+(E16/100))</f>
        <v>15060.930376214048</v>
      </c>
      <c r="F52" s="2"/>
      <c r="G52" s="2">
        <f t="shared" si="65"/>
        <v>34266.331879837606</v>
      </c>
      <c r="H52" s="2">
        <f t="shared" si="23"/>
        <v>39693.692353767576</v>
      </c>
      <c r="I52" s="2">
        <f t="shared" si="41"/>
        <v>151009.38701003601</v>
      </c>
      <c r="J52" s="2">
        <f t="shared" si="24"/>
        <v>5222.1669270831626</v>
      </c>
      <c r="K52" s="6">
        <f t="shared" si="25"/>
        <v>3.5820471260181466E-2</v>
      </c>
      <c r="L52" s="7">
        <f t="shared" si="26"/>
        <v>1.0358204712601815</v>
      </c>
      <c r="N52">
        <f t="shared" si="27"/>
        <v>2005</v>
      </c>
      <c r="O52" s="2">
        <f t="shared" si="28"/>
        <v>6984.8182619767485</v>
      </c>
      <c r="P52" s="2"/>
      <c r="Q52" s="2"/>
      <c r="R52">
        <f t="shared" si="29"/>
        <v>2005</v>
      </c>
      <c r="S52" s="2">
        <f t="shared" ref="S52:S61" si="74">B52-($O52/5)</f>
        <v>26952.864020689882</v>
      </c>
      <c r="T52" s="2"/>
      <c r="U52" s="2">
        <f t="shared" si="59"/>
        <v>32241.641074736192</v>
      </c>
      <c r="V52" s="2">
        <f t="shared" si="60"/>
        <v>13663.966723818698</v>
      </c>
      <c r="W52" s="2"/>
      <c r="X52" s="2">
        <f t="shared" ref="X52:X61" si="75">G52-($O52/5)</f>
        <v>32869.368227442254</v>
      </c>
      <c r="Y52" s="2">
        <f t="shared" ref="Y52:Y61" si="76">H52-($O52/5)</f>
        <v>38296.728701372223</v>
      </c>
      <c r="Z52" s="2">
        <f t="shared" si="44"/>
        <v>144024.56874805925</v>
      </c>
      <c r="AA52" s="2">
        <f t="shared" si="30"/>
        <v>4999.0313969328708</v>
      </c>
      <c r="AB52" s="6">
        <f t="shared" si="31"/>
        <v>3.5957648444883847E-2</v>
      </c>
      <c r="AC52" s="7">
        <f t="shared" si="32"/>
        <v>1.0359576484448838</v>
      </c>
      <c r="AD52" s="2">
        <f t="shared" si="45"/>
        <v>0</v>
      </c>
      <c r="AE52" s="2"/>
      <c r="AG52">
        <f t="shared" si="13"/>
        <v>2005</v>
      </c>
      <c r="AH52" s="6">
        <f t="shared" si="6"/>
        <v>0.18714073754900984</v>
      </c>
      <c r="AI52" s="7"/>
      <c r="AJ52" s="6">
        <f t="shared" si="66"/>
        <v>0.22386209071825916</v>
      </c>
      <c r="AK52" s="6">
        <f t="shared" si="66"/>
        <v>9.4872471013754178E-2</v>
      </c>
      <c r="AL52" s="7"/>
      <c r="AM52" s="6">
        <f t="shared" si="7"/>
        <v>0.22822056342998195</v>
      </c>
      <c r="AN52" s="6">
        <f t="shared" si="14"/>
        <v>0.26590413728899487</v>
      </c>
      <c r="AO52" s="6">
        <f t="shared" si="33"/>
        <v>1</v>
      </c>
      <c r="AP52" s="7">
        <f t="shared" si="34"/>
        <v>0.73409586271100513</v>
      </c>
      <c r="AQ52" s="7">
        <f t="shared" si="35"/>
        <v>0</v>
      </c>
      <c r="AR52" s="7"/>
      <c r="AS52">
        <f t="shared" si="36"/>
        <v>2005</v>
      </c>
      <c r="AT52" s="2">
        <f t="shared" ref="AT52" si="77">S52</f>
        <v>26952.864020689882</v>
      </c>
      <c r="AU52" s="2"/>
      <c r="AV52" s="2">
        <f t="shared" ref="AV52" si="78">U52</f>
        <v>32241.641074736192</v>
      </c>
      <c r="AW52" s="2">
        <f t="shared" ref="AW52" si="79">V52</f>
        <v>13663.966723818698</v>
      </c>
      <c r="AX52" s="2"/>
      <c r="AY52" s="2">
        <f t="shared" ref="AY52" si="80">X52</f>
        <v>32869.368227442254</v>
      </c>
      <c r="AZ52" s="2">
        <f t="shared" ref="AZ52" si="81">Y52</f>
        <v>38296.728701372223</v>
      </c>
      <c r="BA52" s="2">
        <f t="shared" si="17"/>
        <v>144024.56874805925</v>
      </c>
      <c r="BB52" s="2">
        <f t="shared" si="18"/>
        <v>0</v>
      </c>
      <c r="BC52" s="2"/>
      <c r="BM52" s="24"/>
      <c r="BN52">
        <f t="shared" si="5"/>
        <v>2005</v>
      </c>
      <c r="BO52" s="1" t="b">
        <f t="shared" si="37"/>
        <v>1</v>
      </c>
      <c r="BQ52" s="1" t="b">
        <f t="shared" ref="BQ52:BQ64" si="82">AND((U52/$Z52)&gt;0.15,(U52/$Z52)&lt;0.25)</f>
        <v>1</v>
      </c>
      <c r="BR52" s="1" t="b">
        <f t="shared" ref="BR52:BR64" si="83">AND((V52/$Z52)&gt;0.05,(V52/$Z52)&lt;0.15)</f>
        <v>1</v>
      </c>
      <c r="BT52" s="1" t="b">
        <f t="shared" si="63"/>
        <v>1</v>
      </c>
      <c r="BU52" s="1" t="b">
        <f t="shared" si="39"/>
        <v>1</v>
      </c>
      <c r="BV52" s="1" t="b">
        <f t="shared" si="40"/>
        <v>1</v>
      </c>
      <c r="CH52" s="2"/>
    </row>
    <row r="53" spans="1:86" x14ac:dyDescent="0.25">
      <c r="A53">
        <f t="shared" si="8"/>
        <v>2006</v>
      </c>
      <c r="B53" s="2">
        <f t="shared" si="64"/>
        <v>31168.291953525782</v>
      </c>
      <c r="C53" s="2"/>
      <c r="D53" s="2">
        <f t="shared" si="72"/>
        <v>36625.537011668072</v>
      </c>
      <c r="E53" s="2">
        <f t="shared" si="73"/>
        <v>15803.197354099753</v>
      </c>
      <c r="F53" s="2"/>
      <c r="G53" s="2">
        <f t="shared" si="65"/>
        <v>41624.781842186043</v>
      </c>
      <c r="H53" s="2">
        <f t="shared" si="23"/>
        <v>39931.999016920818</v>
      </c>
      <c r="I53" s="2">
        <f t="shared" si="41"/>
        <v>165153.80717840046</v>
      </c>
      <c r="J53" s="2">
        <f t="shared" si="24"/>
        <v>14144.42016836445</v>
      </c>
      <c r="K53" s="6">
        <f t="shared" si="25"/>
        <v>9.3665833948616842E-2</v>
      </c>
      <c r="L53" s="7">
        <f t="shared" si="26"/>
        <v>1.0936658339486169</v>
      </c>
      <c r="N53">
        <f t="shared" si="27"/>
        <v>2006</v>
      </c>
      <c r="O53" s="2">
        <f t="shared" si="28"/>
        <v>7215.3172646219809</v>
      </c>
      <c r="P53" s="2"/>
      <c r="Q53" s="2"/>
      <c r="R53">
        <f t="shared" si="29"/>
        <v>2006</v>
      </c>
      <c r="S53" s="2">
        <f t="shared" si="74"/>
        <v>29725.228500601384</v>
      </c>
      <c r="T53" s="2"/>
      <c r="U53" s="2">
        <f t="shared" ref="U53:U61" si="84">D53-($O53/5)</f>
        <v>35182.473558743673</v>
      </c>
      <c r="V53" s="2">
        <f t="shared" ref="V53:V61" si="85">E53-($O53/5)</f>
        <v>14360.133901175357</v>
      </c>
      <c r="W53" s="2"/>
      <c r="X53" s="2">
        <f t="shared" si="75"/>
        <v>40181.718389261645</v>
      </c>
      <c r="Y53" s="2">
        <f t="shared" si="76"/>
        <v>38488.93556399642</v>
      </c>
      <c r="Z53" s="2">
        <f t="shared" si="44"/>
        <v>157938.4899137785</v>
      </c>
      <c r="AA53" s="2">
        <f t="shared" si="30"/>
        <v>13913.92116571925</v>
      </c>
      <c r="AB53" s="6">
        <f t="shared" si="31"/>
        <v>9.660796964480925E-2</v>
      </c>
      <c r="AC53" s="7">
        <f t="shared" si="32"/>
        <v>1.0966079696448092</v>
      </c>
      <c r="AD53" s="2">
        <f t="shared" si="45"/>
        <v>0</v>
      </c>
      <c r="AE53" s="2"/>
      <c r="AG53">
        <f t="shared" si="13"/>
        <v>2006</v>
      </c>
      <c r="AH53" s="6">
        <f t="shared" si="6"/>
        <v>0.18820762764560386</v>
      </c>
      <c r="AI53" s="7"/>
      <c r="AJ53" s="6">
        <f t="shared" si="66"/>
        <v>0.22276060495418457</v>
      </c>
      <c r="AK53" s="6">
        <f t="shared" si="66"/>
        <v>9.092231987918091E-2</v>
      </c>
      <c r="AL53" s="7"/>
      <c r="AM53" s="6">
        <f t="shared" si="7"/>
        <v>0.25441371771502674</v>
      </c>
      <c r="AN53" s="6">
        <f t="shared" si="14"/>
        <v>0.24369572980600379</v>
      </c>
      <c r="AO53" s="6">
        <f t="shared" si="33"/>
        <v>0.99999999999999978</v>
      </c>
      <c r="AP53" s="7">
        <f t="shared" si="34"/>
        <v>0.75630427019399604</v>
      </c>
      <c r="AQ53" s="7">
        <f t="shared" si="35"/>
        <v>0</v>
      </c>
      <c r="AR53" s="7"/>
      <c r="AS53">
        <f t="shared" si="36"/>
        <v>2006</v>
      </c>
      <c r="AT53" s="2">
        <f t="shared" ref="AT53:AT61" si="86">S53</f>
        <v>29725.228500601384</v>
      </c>
      <c r="AU53" s="2"/>
      <c r="AV53" s="2">
        <f t="shared" ref="AV53:AV61" si="87">U53</f>
        <v>35182.473558743673</v>
      </c>
      <c r="AW53" s="2">
        <f t="shared" ref="AW53:AW61" si="88">V53</f>
        <v>14360.133901175357</v>
      </c>
      <c r="AX53" s="2"/>
      <c r="AY53" s="2">
        <f t="shared" ref="AY53:AY61" si="89">X53</f>
        <v>40181.718389261645</v>
      </c>
      <c r="AZ53" s="2">
        <f t="shared" ref="AZ53:AZ61" si="90">Y53</f>
        <v>38488.93556399642</v>
      </c>
      <c r="BA53" s="2">
        <f t="shared" si="17"/>
        <v>157938.4899137785</v>
      </c>
      <c r="BB53" s="2">
        <f t="shared" si="18"/>
        <v>0</v>
      </c>
      <c r="BC53" s="2"/>
      <c r="BM53" s="24"/>
      <c r="BN53">
        <f t="shared" si="5"/>
        <v>2006</v>
      </c>
      <c r="BO53" s="1" t="b">
        <f t="shared" si="37"/>
        <v>1</v>
      </c>
      <c r="BQ53" s="1" t="b">
        <f t="shared" si="82"/>
        <v>1</v>
      </c>
      <c r="BR53" s="1" t="b">
        <f t="shared" si="83"/>
        <v>1</v>
      </c>
      <c r="BT53" s="1" t="b">
        <f t="shared" si="63"/>
        <v>0</v>
      </c>
      <c r="BU53" s="1" t="b">
        <f t="shared" si="39"/>
        <v>0</v>
      </c>
      <c r="BV53" s="1" t="b">
        <f t="shared" si="40"/>
        <v>1</v>
      </c>
      <c r="CH53" s="2"/>
    </row>
    <row r="54" spans="1:86" x14ac:dyDescent="0.25">
      <c r="A54">
        <f t="shared" si="8"/>
        <v>2007</v>
      </c>
      <c r="B54" s="2">
        <f t="shared" si="64"/>
        <v>31327.418316783802</v>
      </c>
      <c r="C54" s="2"/>
      <c r="D54" s="2">
        <f t="shared" si="72"/>
        <v>37300.810291715636</v>
      </c>
      <c r="E54" s="2">
        <f t="shared" si="73"/>
        <v>14526.137049072944</v>
      </c>
      <c r="F54" s="2"/>
      <c r="G54" s="2">
        <f t="shared" si="65"/>
        <v>46418.724717642835</v>
      </c>
      <c r="H54" s="2">
        <f t="shared" si="23"/>
        <v>41152.369905024971</v>
      </c>
      <c r="I54" s="2">
        <f t="shared" si="41"/>
        <v>170725.46028024019</v>
      </c>
      <c r="J54" s="2">
        <f t="shared" si="24"/>
        <v>5571.6531018397363</v>
      </c>
      <c r="K54" s="6">
        <f t="shared" si="25"/>
        <v>3.3736146910747215E-2</v>
      </c>
      <c r="L54" s="7">
        <f t="shared" si="26"/>
        <v>1.0337361469107471</v>
      </c>
      <c r="N54">
        <f t="shared" si="27"/>
        <v>2007</v>
      </c>
      <c r="O54" s="2">
        <f t="shared" si="28"/>
        <v>7395.7001962375298</v>
      </c>
      <c r="P54" s="2"/>
      <c r="Q54" s="2"/>
      <c r="R54">
        <f t="shared" si="29"/>
        <v>2007</v>
      </c>
      <c r="S54" s="2">
        <f t="shared" si="74"/>
        <v>29848.278277536298</v>
      </c>
      <c r="T54" s="2"/>
      <c r="U54" s="2">
        <f t="shared" si="84"/>
        <v>35821.670252468131</v>
      </c>
      <c r="V54" s="2">
        <f t="shared" si="85"/>
        <v>13046.997009825438</v>
      </c>
      <c r="W54" s="2"/>
      <c r="X54" s="2">
        <f t="shared" si="75"/>
        <v>44939.584678395331</v>
      </c>
      <c r="Y54" s="2">
        <f t="shared" si="76"/>
        <v>39673.229865777466</v>
      </c>
      <c r="Z54" s="2">
        <f t="shared" si="44"/>
        <v>163329.76008400269</v>
      </c>
      <c r="AA54" s="2">
        <f t="shared" si="30"/>
        <v>5391.2701702241902</v>
      </c>
      <c r="AB54" s="6">
        <f t="shared" si="31"/>
        <v>3.4135252104584408E-2</v>
      </c>
      <c r="AC54" s="7">
        <f t="shared" si="32"/>
        <v>1.0341352521045843</v>
      </c>
      <c r="AD54" s="2">
        <f t="shared" si="45"/>
        <v>0</v>
      </c>
      <c r="AE54" s="2"/>
      <c r="AG54">
        <f t="shared" si="13"/>
        <v>2007</v>
      </c>
      <c r="AH54" s="6">
        <f t="shared" si="6"/>
        <v>0.18274855887980812</v>
      </c>
      <c r="AI54" s="7"/>
      <c r="AJ54" s="6">
        <f t="shared" si="66"/>
        <v>0.21932114658127561</v>
      </c>
      <c r="AK54" s="6">
        <f t="shared" si="66"/>
        <v>7.9881321096138214E-2</v>
      </c>
      <c r="AL54" s="7"/>
      <c r="AM54" s="6">
        <f t="shared" si="7"/>
        <v>0.27514633374396863</v>
      </c>
      <c r="AN54" s="6">
        <f t="shared" si="14"/>
        <v>0.24290263969880929</v>
      </c>
      <c r="AO54" s="6">
        <f t="shared" si="33"/>
        <v>0.99999999999999989</v>
      </c>
      <c r="AP54" s="7">
        <f t="shared" si="34"/>
        <v>0.75709736030119057</v>
      </c>
      <c r="AQ54" s="7">
        <f t="shared" si="35"/>
        <v>0</v>
      </c>
      <c r="AR54" s="7"/>
      <c r="AS54">
        <f t="shared" si="36"/>
        <v>2007</v>
      </c>
      <c r="AT54" s="2">
        <f t="shared" si="86"/>
        <v>29848.278277536298</v>
      </c>
      <c r="AU54" s="2"/>
      <c r="AV54" s="2">
        <f t="shared" si="87"/>
        <v>35821.670252468131</v>
      </c>
      <c r="AW54" s="2">
        <f t="shared" si="88"/>
        <v>13046.997009825438</v>
      </c>
      <c r="AX54" s="2"/>
      <c r="AY54" s="2">
        <f t="shared" si="89"/>
        <v>44939.584678395331</v>
      </c>
      <c r="AZ54" s="2">
        <f t="shared" si="90"/>
        <v>39673.229865777466</v>
      </c>
      <c r="BA54" s="2">
        <f t="shared" si="17"/>
        <v>163329.76008400269</v>
      </c>
      <c r="BB54" s="2">
        <f t="shared" si="18"/>
        <v>0</v>
      </c>
      <c r="BC54" s="2"/>
      <c r="BM54" s="24"/>
      <c r="BN54">
        <f t="shared" si="5"/>
        <v>2007</v>
      </c>
      <c r="BO54" s="28" t="b">
        <f t="shared" si="37"/>
        <v>1</v>
      </c>
      <c r="BQ54" s="1" t="b">
        <f t="shared" si="82"/>
        <v>1</v>
      </c>
      <c r="BR54" s="1" t="b">
        <f t="shared" si="83"/>
        <v>1</v>
      </c>
      <c r="BT54" s="28" t="b">
        <f t="shared" si="63"/>
        <v>0</v>
      </c>
      <c r="BU54" s="28" t="b">
        <f t="shared" si="39"/>
        <v>0</v>
      </c>
      <c r="BV54" s="1" t="b">
        <f t="shared" si="40"/>
        <v>1</v>
      </c>
      <c r="CH54" s="2"/>
    </row>
    <row r="55" spans="1:86" x14ac:dyDescent="0.25">
      <c r="A55">
        <f t="shared" si="8"/>
        <v>2008</v>
      </c>
      <c r="B55" s="2">
        <f t="shared" si="64"/>
        <v>18798.445659192359</v>
      </c>
      <c r="C55" s="2"/>
      <c r="D55" s="2">
        <f t="shared" si="72"/>
        <v>20839.614886075862</v>
      </c>
      <c r="E55" s="2">
        <f t="shared" si="73"/>
        <v>8340.9451883814017</v>
      </c>
      <c r="F55" s="2"/>
      <c r="G55" s="2">
        <f t="shared" si="65"/>
        <v>25120.778439376205</v>
      </c>
      <c r="H55" s="2">
        <f t="shared" si="23"/>
        <v>41676.72797399923</v>
      </c>
      <c r="I55" s="2">
        <f t="shared" si="41"/>
        <v>114776.51214702506</v>
      </c>
      <c r="J55" s="2">
        <f t="shared" si="24"/>
        <v>-55948.948133215134</v>
      </c>
      <c r="K55" s="6">
        <f t="shared" si="25"/>
        <v>-0.32771297287104562</v>
      </c>
      <c r="L55" s="7">
        <f t="shared" si="26"/>
        <v>0.67228702712895438</v>
      </c>
      <c r="N55">
        <f t="shared" si="27"/>
        <v>2008</v>
      </c>
      <c r="O55" s="2">
        <f t="shared" si="28"/>
        <v>7698.9239042832678</v>
      </c>
      <c r="P55" s="2"/>
      <c r="Q55" s="2"/>
      <c r="R55">
        <f t="shared" si="29"/>
        <v>2008</v>
      </c>
      <c r="S55" s="2">
        <f t="shared" si="74"/>
        <v>17258.660878335704</v>
      </c>
      <c r="T55" s="2"/>
      <c r="U55" s="2">
        <f t="shared" si="84"/>
        <v>19299.830105219207</v>
      </c>
      <c r="V55" s="2">
        <f t="shared" si="85"/>
        <v>6801.1604075247487</v>
      </c>
      <c r="W55" s="2"/>
      <c r="X55" s="2">
        <f t="shared" si="75"/>
        <v>23580.99365851955</v>
      </c>
      <c r="Y55" s="2">
        <f t="shared" si="76"/>
        <v>40136.943193142579</v>
      </c>
      <c r="Z55" s="2">
        <f t="shared" si="44"/>
        <v>107077.5882427418</v>
      </c>
      <c r="AA55" s="2">
        <f t="shared" si="30"/>
        <v>-56252.17184126089</v>
      </c>
      <c r="AB55" s="6">
        <f t="shared" si="31"/>
        <v>-0.34440858672865032</v>
      </c>
      <c r="AC55" s="7">
        <f t="shared" si="32"/>
        <v>0.65559141327134962</v>
      </c>
      <c r="AD55" s="2">
        <f t="shared" si="45"/>
        <v>0</v>
      </c>
      <c r="AE55" s="2"/>
      <c r="AG55">
        <f t="shared" si="13"/>
        <v>2008</v>
      </c>
      <c r="AH55" s="38">
        <f t="shared" ref="AH55:AH64" si="91">S55/$Z55</f>
        <v>0.16117902132060369</v>
      </c>
      <c r="AI55" s="61"/>
      <c r="AJ55" s="38">
        <f t="shared" si="66"/>
        <v>0.18024154654536159</v>
      </c>
      <c r="AK55" s="38">
        <f t="shared" si="66"/>
        <v>6.3516189700749653E-2</v>
      </c>
      <c r="AL55" s="61"/>
      <c r="AM55" s="38">
        <f t="shared" ref="AM55:AM64" si="92">X55/$Z55</f>
        <v>0.22022342906213127</v>
      </c>
      <c r="AN55" s="38">
        <f t="shared" si="14"/>
        <v>0.37483981337115374</v>
      </c>
      <c r="AO55" s="6">
        <f t="shared" si="33"/>
        <v>1</v>
      </c>
      <c r="AP55" s="7">
        <f t="shared" si="34"/>
        <v>0.62516018662884631</v>
      </c>
      <c r="AQ55" s="7">
        <f t="shared" si="35"/>
        <v>0</v>
      </c>
      <c r="AR55" s="7"/>
      <c r="AS55">
        <f t="shared" si="36"/>
        <v>2008</v>
      </c>
      <c r="AT55" s="40">
        <v>0</v>
      </c>
      <c r="AU55" s="63"/>
      <c r="AV55" s="40">
        <v>0</v>
      </c>
      <c r="AW55" s="40">
        <v>0</v>
      </c>
      <c r="AX55" s="63"/>
      <c r="AY55" s="40">
        <v>0</v>
      </c>
      <c r="AZ55" s="40">
        <f>Z55</f>
        <v>107077.5882427418</v>
      </c>
      <c r="BA55" s="2">
        <f t="shared" si="17"/>
        <v>107077.5882427418</v>
      </c>
      <c r="BB55" s="2">
        <f t="shared" si="18"/>
        <v>0</v>
      </c>
      <c r="BC55" s="2"/>
      <c r="BM55" s="24"/>
      <c r="BN55">
        <f t="shared" si="5"/>
        <v>2008</v>
      </c>
      <c r="BO55" s="1" t="b">
        <f t="shared" si="37"/>
        <v>1</v>
      </c>
      <c r="BQ55" s="1" t="b">
        <f t="shared" si="82"/>
        <v>1</v>
      </c>
      <c r="BR55" s="1" t="b">
        <f t="shared" si="83"/>
        <v>1</v>
      </c>
      <c r="BT55" s="1" t="b">
        <f t="shared" si="63"/>
        <v>1</v>
      </c>
      <c r="BU55" s="28" t="b">
        <f t="shared" si="39"/>
        <v>0</v>
      </c>
      <c r="BV55" s="1" t="b">
        <f t="shared" si="40"/>
        <v>1</v>
      </c>
      <c r="CH55" s="2"/>
    </row>
    <row r="56" spans="1:86" x14ac:dyDescent="0.25">
      <c r="A56">
        <f t="shared" si="8"/>
        <v>2009</v>
      </c>
      <c r="B56" s="2">
        <f t="shared" si="64"/>
        <v>0</v>
      </c>
      <c r="C56" s="2"/>
      <c r="D56" s="2">
        <f t="shared" si="72"/>
        <v>0</v>
      </c>
      <c r="E56" s="2">
        <f t="shared" si="73"/>
        <v>0</v>
      </c>
      <c r="F56" s="2"/>
      <c r="G56" s="2">
        <f t="shared" si="65"/>
        <v>0</v>
      </c>
      <c r="H56" s="2">
        <f t="shared" si="23"/>
        <v>113427.28922553637</v>
      </c>
      <c r="I56" s="2">
        <f t="shared" si="41"/>
        <v>113427.28922553637</v>
      </c>
      <c r="J56" s="2">
        <f>I56-I55</f>
        <v>-1349.2229214886902</v>
      </c>
      <c r="K56" s="6">
        <f>(J56/I55)</f>
        <v>-1.1755217999309637E-2</v>
      </c>
      <c r="L56" s="7">
        <f t="shared" si="26"/>
        <v>0.98824478200069032</v>
      </c>
      <c r="N56">
        <f t="shared" si="27"/>
        <v>2009</v>
      </c>
      <c r="O56" s="2">
        <f t="shared" si="28"/>
        <v>7698.9239042832678</v>
      </c>
      <c r="P56" s="2"/>
      <c r="Q56" s="2"/>
      <c r="R56">
        <f t="shared" si="29"/>
        <v>2009</v>
      </c>
      <c r="S56" s="2">
        <f t="shared" si="74"/>
        <v>-1539.7847808566535</v>
      </c>
      <c r="T56" s="2"/>
      <c r="U56" s="2">
        <f t="shared" si="84"/>
        <v>-1539.7847808566535</v>
      </c>
      <c r="V56" s="2">
        <f t="shared" si="85"/>
        <v>-1539.7847808566535</v>
      </c>
      <c r="W56" s="2"/>
      <c r="X56" s="2">
        <f t="shared" si="75"/>
        <v>-1539.7847808566535</v>
      </c>
      <c r="Y56" s="2">
        <f t="shared" si="76"/>
        <v>111887.50444467971</v>
      </c>
      <c r="Z56" s="2">
        <f t="shared" si="44"/>
        <v>105728.36532125309</v>
      </c>
      <c r="AA56" s="2">
        <f>Z56-Z55</f>
        <v>-1349.2229214887047</v>
      </c>
      <c r="AB56" s="6">
        <f>(AA56/Z55)</f>
        <v>-1.260042314765304E-2</v>
      </c>
      <c r="AC56" s="7">
        <f t="shared" si="32"/>
        <v>0.98739957685234692</v>
      </c>
      <c r="AD56" s="2">
        <f t="shared" si="45"/>
        <v>0</v>
      </c>
      <c r="AE56" s="2"/>
      <c r="AG56">
        <f t="shared" si="13"/>
        <v>2009</v>
      </c>
      <c r="AH56" s="6">
        <f t="shared" si="91"/>
        <v>-1.4563592051934734E-2</v>
      </c>
      <c r="AI56" s="7"/>
      <c r="AJ56" s="6">
        <f t="shared" si="66"/>
        <v>-1.4563592051934734E-2</v>
      </c>
      <c r="AK56" s="6">
        <f t="shared" si="66"/>
        <v>-1.4563592051934734E-2</v>
      </c>
      <c r="AL56" s="7"/>
      <c r="AM56" s="6">
        <f t="shared" si="92"/>
        <v>-1.4563592051934734E-2</v>
      </c>
      <c r="AN56" s="6">
        <f t="shared" si="14"/>
        <v>1.058254368207739</v>
      </c>
      <c r="AO56" s="6">
        <f t="shared" si="33"/>
        <v>1</v>
      </c>
      <c r="AP56" s="7">
        <f t="shared" si="34"/>
        <v>-5.8254368207738938E-2</v>
      </c>
      <c r="AQ56" s="7">
        <f t="shared" si="35"/>
        <v>0</v>
      </c>
      <c r="AR56" s="7"/>
      <c r="AS56">
        <f t="shared" si="36"/>
        <v>2009</v>
      </c>
      <c r="AT56" s="40">
        <f>$Z56*AT$39</f>
        <v>21145.673064250619</v>
      </c>
      <c r="AU56" s="40"/>
      <c r="AV56" s="40">
        <f>$Z56*AV$39</f>
        <v>21145.673064250619</v>
      </c>
      <c r="AW56" s="40">
        <f>$Z56*AW$39</f>
        <v>10572.83653212531</v>
      </c>
      <c r="AX56" s="40"/>
      <c r="AY56" s="40">
        <f>$Z56*AY$39</f>
        <v>21145.673064250619</v>
      </c>
      <c r="AZ56" s="40">
        <f>$Z56*AZ$39</f>
        <v>31718.509596375927</v>
      </c>
      <c r="BA56" s="2">
        <f t="shared" ref="BA56:BA64" si="93">Z56</f>
        <v>105728.36532125309</v>
      </c>
      <c r="BB56" s="2">
        <f t="shared" si="18"/>
        <v>0</v>
      </c>
      <c r="BC56" s="2"/>
      <c r="BM56" s="24"/>
      <c r="BN56">
        <f t="shared" si="5"/>
        <v>2009</v>
      </c>
      <c r="BO56" s="1" t="b">
        <f t="shared" si="37"/>
        <v>0</v>
      </c>
      <c r="BQ56" s="1" t="b">
        <f t="shared" si="82"/>
        <v>0</v>
      </c>
      <c r="BR56" s="1" t="b">
        <f t="shared" si="83"/>
        <v>0</v>
      </c>
      <c r="BT56" s="1" t="b">
        <f t="shared" si="63"/>
        <v>0</v>
      </c>
      <c r="BU56" s="1" t="b">
        <f t="shared" si="39"/>
        <v>0</v>
      </c>
      <c r="BV56" s="1" t="b">
        <f t="shared" si="40"/>
        <v>1</v>
      </c>
      <c r="CH56" s="2"/>
    </row>
    <row r="57" spans="1:86" x14ac:dyDescent="0.25">
      <c r="A57">
        <f t="shared" si="8"/>
        <v>2010</v>
      </c>
      <c r="B57" s="2">
        <f t="shared" si="64"/>
        <v>24298.492918130385</v>
      </c>
      <c r="C57" s="2"/>
      <c r="D57" s="2">
        <f t="shared" si="72"/>
        <v>26529.361426408825</v>
      </c>
      <c r="E57" s="2">
        <f t="shared" si="73"/>
        <v>13503.626818830446</v>
      </c>
      <c r="F57" s="2"/>
      <c r="G57" s="2">
        <f t="shared" si="65"/>
        <v>23497.071908995287</v>
      </c>
      <c r="H57" s="2">
        <f t="shared" si="23"/>
        <v>33754.837912463263</v>
      </c>
      <c r="I57" s="2">
        <f t="shared" si="41"/>
        <v>121583.39098482821</v>
      </c>
      <c r="J57" s="2">
        <f t="shared" si="24"/>
        <v>8156.1017592918361</v>
      </c>
      <c r="K57" s="6">
        <f t="shared" si="25"/>
        <v>7.1905992067521074E-2</v>
      </c>
      <c r="L57" s="7">
        <f t="shared" si="26"/>
        <v>1.0719059920675211</v>
      </c>
      <c r="N57">
        <f t="shared" si="27"/>
        <v>2010</v>
      </c>
      <c r="O57" s="2">
        <f t="shared" si="28"/>
        <v>7914.4937736031998</v>
      </c>
      <c r="P57" s="2"/>
      <c r="Q57" s="2"/>
      <c r="R57">
        <f t="shared" si="29"/>
        <v>2010</v>
      </c>
      <c r="S57" s="2">
        <f t="shared" si="74"/>
        <v>22715.594163409743</v>
      </c>
      <c r="T57" s="2"/>
      <c r="U57" s="2">
        <f t="shared" si="84"/>
        <v>24946.462671688183</v>
      </c>
      <c r="V57" s="2">
        <f t="shared" si="85"/>
        <v>11920.728064109806</v>
      </c>
      <c r="W57" s="2"/>
      <c r="X57" s="2">
        <f t="shared" si="75"/>
        <v>21914.173154274646</v>
      </c>
      <c r="Y57" s="2">
        <f t="shared" si="76"/>
        <v>32171.939157742621</v>
      </c>
      <c r="Z57" s="2">
        <f t="shared" si="44"/>
        <v>113668.897211225</v>
      </c>
      <c r="AA57" s="2">
        <f t="shared" ref="AA57:AA64" si="94">Z57-Z56</f>
        <v>7940.5318899719132</v>
      </c>
      <c r="AB57" s="6">
        <f t="shared" ref="AB57:AB64" si="95">(AA57/Z56)</f>
        <v>7.5103136853055447E-2</v>
      </c>
      <c r="AC57" s="7">
        <f t="shared" si="32"/>
        <v>1.0751031368530555</v>
      </c>
      <c r="AD57" s="2">
        <f t="shared" si="45"/>
        <v>0</v>
      </c>
      <c r="AE57" s="2"/>
      <c r="AG57">
        <f t="shared" si="13"/>
        <v>2010</v>
      </c>
      <c r="AH57" s="6">
        <f t="shared" si="91"/>
        <v>0.19984001534912876</v>
      </c>
      <c r="AI57" s="7"/>
      <c r="AJ57" s="6">
        <f t="shared" si="66"/>
        <v>0.21946603938042494</v>
      </c>
      <c r="AK57" s="6">
        <f t="shared" si="66"/>
        <v>0.10487238247731159</v>
      </c>
      <c r="AL57" s="7"/>
      <c r="AM57" s="6">
        <f t="shared" si="92"/>
        <v>0.19278952899096644</v>
      </c>
      <c r="AN57" s="6">
        <f t="shared" si="14"/>
        <v>0.28303203380216824</v>
      </c>
      <c r="AO57" s="6">
        <f t="shared" si="33"/>
        <v>1</v>
      </c>
      <c r="AP57" s="7">
        <f t="shared" si="34"/>
        <v>0.71696796619783176</v>
      </c>
      <c r="AQ57" s="7">
        <f t="shared" si="35"/>
        <v>0</v>
      </c>
      <c r="AR57" s="7"/>
      <c r="AS57">
        <f t="shared" si="36"/>
        <v>2010</v>
      </c>
      <c r="AT57" s="2">
        <f t="shared" ref="AT57:AT58" si="96">S57</f>
        <v>22715.594163409743</v>
      </c>
      <c r="AU57" s="2"/>
      <c r="AV57" s="2">
        <f t="shared" ref="AV57:AV58" si="97">U57</f>
        <v>24946.462671688183</v>
      </c>
      <c r="AW57" s="2">
        <f t="shared" ref="AW57:AW58" si="98">V57</f>
        <v>11920.728064109806</v>
      </c>
      <c r="AX57" s="2"/>
      <c r="AY57" s="2">
        <f t="shared" ref="AY57:AY58" si="99">X57</f>
        <v>21914.173154274646</v>
      </c>
      <c r="AZ57" s="2">
        <f t="shared" ref="AZ57:AZ58" si="100">Y57</f>
        <v>32171.939157742621</v>
      </c>
      <c r="BA57" s="2">
        <f t="shared" si="93"/>
        <v>113668.897211225</v>
      </c>
      <c r="BB57" s="2">
        <f t="shared" si="18"/>
        <v>0</v>
      </c>
      <c r="BC57" s="2"/>
      <c r="BM57" s="24"/>
      <c r="BN57">
        <f t="shared" si="5"/>
        <v>2010</v>
      </c>
      <c r="BO57" s="1" t="b">
        <f t="shared" si="37"/>
        <v>1</v>
      </c>
      <c r="BQ57" s="1" t="b">
        <f t="shared" si="82"/>
        <v>1</v>
      </c>
      <c r="BR57" s="1" t="b">
        <f t="shared" si="83"/>
        <v>1</v>
      </c>
      <c r="BT57" s="1" t="b">
        <f t="shared" si="63"/>
        <v>1</v>
      </c>
      <c r="BU57" s="1" t="b">
        <f t="shared" si="39"/>
        <v>1</v>
      </c>
      <c r="BV57" s="1" t="b">
        <f t="shared" si="40"/>
        <v>1</v>
      </c>
      <c r="CH57" s="2"/>
    </row>
    <row r="58" spans="1:86" x14ac:dyDescent="0.25">
      <c r="A58">
        <f t="shared" si="8"/>
        <v>2011</v>
      </c>
      <c r="B58" s="2">
        <f t="shared" si="64"/>
        <v>23163.091368428915</v>
      </c>
      <c r="C58" s="2"/>
      <c r="D58" s="2">
        <f t="shared" si="72"/>
        <v>24420.092309315562</v>
      </c>
      <c r="E58" s="2">
        <f t="shared" si="73"/>
        <v>11586.947678314731</v>
      </c>
      <c r="F58" s="2"/>
      <c r="G58" s="2">
        <f t="shared" si="65"/>
        <v>18723.469543012259</v>
      </c>
      <c r="H58" s="2">
        <f t="shared" si="23"/>
        <v>34604.137758067969</v>
      </c>
      <c r="I58" s="2">
        <f t="shared" si="41"/>
        <v>112497.73865713943</v>
      </c>
      <c r="J58" s="2">
        <f t="shared" si="24"/>
        <v>-9085.6523276887747</v>
      </c>
      <c r="K58" s="6">
        <f t="shared" si="25"/>
        <v>-7.4727742449809842E-2</v>
      </c>
      <c r="L58" s="7">
        <f t="shared" si="26"/>
        <v>0.92527225755019016</v>
      </c>
      <c r="N58">
        <f t="shared" si="27"/>
        <v>2011</v>
      </c>
      <c r="O58" s="2">
        <f t="shared" si="28"/>
        <v>8025.2966864336449</v>
      </c>
      <c r="P58" s="2"/>
      <c r="Q58" s="2"/>
      <c r="R58">
        <f t="shared" si="29"/>
        <v>2011</v>
      </c>
      <c r="S58" s="2">
        <f t="shared" si="74"/>
        <v>21558.032031142186</v>
      </c>
      <c r="T58" s="2"/>
      <c r="U58" s="2">
        <f t="shared" si="84"/>
        <v>22815.032972028832</v>
      </c>
      <c r="V58" s="2">
        <f t="shared" si="85"/>
        <v>9981.8883410280014</v>
      </c>
      <c r="W58" s="2"/>
      <c r="X58" s="2">
        <f t="shared" si="75"/>
        <v>17118.41020572553</v>
      </c>
      <c r="Y58" s="2">
        <f t="shared" si="76"/>
        <v>32999.078420781239</v>
      </c>
      <c r="Z58" s="2">
        <f t="shared" si="44"/>
        <v>104472.44197070578</v>
      </c>
      <c r="AA58" s="2">
        <f t="shared" si="94"/>
        <v>-9196.4552405192226</v>
      </c>
      <c r="AB58" s="6">
        <f t="shared" si="95"/>
        <v>-8.0905643198331795E-2</v>
      </c>
      <c r="AC58" s="7">
        <f t="shared" si="32"/>
        <v>0.91909435680166818</v>
      </c>
      <c r="AD58" s="2">
        <f t="shared" si="45"/>
        <v>0</v>
      </c>
      <c r="AE58" s="2"/>
      <c r="AG58">
        <f t="shared" si="13"/>
        <v>2011</v>
      </c>
      <c r="AH58" s="6">
        <f t="shared" si="91"/>
        <v>0.20635137481697888</v>
      </c>
      <c r="AI58" s="7"/>
      <c r="AJ58" s="6">
        <f t="shared" si="66"/>
        <v>0.21838326492287985</v>
      </c>
      <c r="AK58" s="6">
        <f t="shared" si="66"/>
        <v>9.5545659245018288E-2</v>
      </c>
      <c r="AL58" s="7"/>
      <c r="AM58" s="6">
        <f t="shared" si="92"/>
        <v>0.16385574877751546</v>
      </c>
      <c r="AN58" s="6">
        <f t="shared" si="14"/>
        <v>0.31586395223760755</v>
      </c>
      <c r="AO58" s="6">
        <f t="shared" si="33"/>
        <v>0.99999999999999989</v>
      </c>
      <c r="AP58" s="7">
        <f t="shared" si="34"/>
        <v>0.68413604776239234</v>
      </c>
      <c r="AQ58" s="7">
        <f t="shared" si="35"/>
        <v>0</v>
      </c>
      <c r="AR58" s="7"/>
      <c r="AS58">
        <f t="shared" si="36"/>
        <v>2011</v>
      </c>
      <c r="AT58" s="2">
        <f t="shared" si="96"/>
        <v>21558.032031142186</v>
      </c>
      <c r="AU58" s="2"/>
      <c r="AV58" s="2">
        <f t="shared" si="97"/>
        <v>22815.032972028832</v>
      </c>
      <c r="AW58" s="2">
        <f t="shared" si="98"/>
        <v>9981.8883410280014</v>
      </c>
      <c r="AX58" s="2"/>
      <c r="AY58" s="2">
        <f t="shared" si="99"/>
        <v>17118.41020572553</v>
      </c>
      <c r="AZ58" s="2">
        <f t="shared" si="100"/>
        <v>32999.078420781239</v>
      </c>
      <c r="BA58" s="2">
        <f t="shared" si="93"/>
        <v>104472.44197070578</v>
      </c>
      <c r="BB58" s="2">
        <f t="shared" si="18"/>
        <v>0</v>
      </c>
      <c r="BC58" s="2"/>
      <c r="BM58" s="24"/>
      <c r="BN58">
        <f t="shared" si="5"/>
        <v>2011</v>
      </c>
      <c r="BO58" s="1" t="b">
        <f t="shared" si="37"/>
        <v>1</v>
      </c>
      <c r="BQ58" s="1" t="b">
        <f t="shared" si="82"/>
        <v>1</v>
      </c>
      <c r="BR58" s="1" t="b">
        <f t="shared" si="83"/>
        <v>1</v>
      </c>
      <c r="BT58" s="28" t="b">
        <f t="shared" si="63"/>
        <v>1</v>
      </c>
      <c r="BU58" s="28" t="b">
        <f t="shared" si="39"/>
        <v>1</v>
      </c>
      <c r="BV58" s="1" t="b">
        <f t="shared" si="40"/>
        <v>1</v>
      </c>
      <c r="CH58" s="2"/>
    </row>
    <row r="59" spans="1:86" x14ac:dyDescent="0.25">
      <c r="A59">
        <f t="shared" si="8"/>
        <v>2012</v>
      </c>
      <c r="B59" s="2">
        <f t="shared" si="64"/>
        <v>24968.512698468876</v>
      </c>
      <c r="C59" s="2"/>
      <c r="D59" s="2">
        <f t="shared" si="72"/>
        <v>26419.808181609387</v>
      </c>
      <c r="E59" s="2">
        <f t="shared" si="73"/>
        <v>11782.620997749455</v>
      </c>
      <c r="F59" s="2"/>
      <c r="G59" s="2">
        <f t="shared" si="65"/>
        <v>20223.689817044142</v>
      </c>
      <c r="H59" s="2">
        <f t="shared" si="23"/>
        <v>34335.541096822883</v>
      </c>
      <c r="I59" s="2">
        <f t="shared" si="41"/>
        <v>117730.17279169474</v>
      </c>
      <c r="J59" s="2">
        <f t="shared" si="24"/>
        <v>5232.4341345553112</v>
      </c>
      <c r="K59" s="6">
        <f t="shared" si="25"/>
        <v>4.6511460559240721E-2</v>
      </c>
      <c r="L59" s="7">
        <f t="shared" si="26"/>
        <v>1.0465114605592407</v>
      </c>
      <c r="N59">
        <f t="shared" si="27"/>
        <v>2012</v>
      </c>
      <c r="O59" s="2">
        <f t="shared" si="28"/>
        <v>8266.0555870266544</v>
      </c>
      <c r="P59" s="2"/>
      <c r="Q59" s="2"/>
      <c r="R59">
        <f t="shared" si="29"/>
        <v>2012</v>
      </c>
      <c r="S59" s="2">
        <f t="shared" si="74"/>
        <v>23315.301581063544</v>
      </c>
      <c r="T59" s="2"/>
      <c r="U59" s="2">
        <f t="shared" si="84"/>
        <v>24766.597064204056</v>
      </c>
      <c r="V59" s="2">
        <f t="shared" si="85"/>
        <v>10129.409880344123</v>
      </c>
      <c r="W59" s="2"/>
      <c r="X59" s="2">
        <f t="shared" si="75"/>
        <v>18570.47869963881</v>
      </c>
      <c r="Y59" s="2">
        <f t="shared" si="76"/>
        <v>32682.329979417551</v>
      </c>
      <c r="Z59" s="2">
        <f t="shared" si="44"/>
        <v>109464.11720466809</v>
      </c>
      <c r="AA59" s="2">
        <f t="shared" si="94"/>
        <v>4991.6752339623054</v>
      </c>
      <c r="AB59" s="6">
        <f t="shared" si="95"/>
        <v>4.7779827290358332E-2</v>
      </c>
      <c r="AC59" s="7">
        <f t="shared" si="32"/>
        <v>1.0477798272903582</v>
      </c>
      <c r="AD59" s="2">
        <f t="shared" si="45"/>
        <v>0</v>
      </c>
      <c r="AE59" s="2"/>
      <c r="AG59">
        <f t="shared" si="13"/>
        <v>2012</v>
      </c>
      <c r="AH59" s="6">
        <f t="shared" si="91"/>
        <v>0.21299492634166392</v>
      </c>
      <c r="AI59" s="7"/>
      <c r="AJ59" s="6">
        <f t="shared" si="66"/>
        <v>0.22625311103452525</v>
      </c>
      <c r="AK59" s="6">
        <f t="shared" si="66"/>
        <v>9.2536350166738973E-2</v>
      </c>
      <c r="AL59" s="7"/>
      <c r="AM59" s="6">
        <f t="shared" si="92"/>
        <v>0.16964900621193585</v>
      </c>
      <c r="AN59" s="6">
        <f t="shared" si="14"/>
        <v>0.29856660624513598</v>
      </c>
      <c r="AO59" s="6">
        <f t="shared" si="33"/>
        <v>1</v>
      </c>
      <c r="AP59" s="7">
        <f t="shared" si="34"/>
        <v>0.70143339375486402</v>
      </c>
      <c r="AQ59" s="7">
        <f t="shared" si="35"/>
        <v>0</v>
      </c>
      <c r="AR59" s="7"/>
      <c r="AS59">
        <f t="shared" si="36"/>
        <v>2012</v>
      </c>
      <c r="AT59" s="2">
        <f t="shared" si="86"/>
        <v>23315.301581063544</v>
      </c>
      <c r="AU59" s="2"/>
      <c r="AV59" s="2">
        <f t="shared" si="87"/>
        <v>24766.597064204056</v>
      </c>
      <c r="AW59" s="2">
        <f t="shared" si="88"/>
        <v>10129.409880344123</v>
      </c>
      <c r="AX59" s="2"/>
      <c r="AY59" s="2">
        <f t="shared" si="89"/>
        <v>18570.47869963881</v>
      </c>
      <c r="AZ59" s="2">
        <f t="shared" si="90"/>
        <v>32682.329979417551</v>
      </c>
      <c r="BA59" s="2">
        <f t="shared" si="93"/>
        <v>109464.11720466809</v>
      </c>
      <c r="BB59" s="2">
        <f t="shared" si="18"/>
        <v>0</v>
      </c>
      <c r="BC59" s="2"/>
      <c r="BM59" s="24"/>
      <c r="BN59">
        <f t="shared" si="5"/>
        <v>2012</v>
      </c>
      <c r="BO59" s="1" t="b">
        <f t="shared" si="37"/>
        <v>1</v>
      </c>
      <c r="BQ59" s="1" t="b">
        <f t="shared" si="82"/>
        <v>1</v>
      </c>
      <c r="BR59" s="1" t="b">
        <f t="shared" si="83"/>
        <v>1</v>
      </c>
      <c r="BT59" s="1" t="b">
        <f t="shared" si="63"/>
        <v>1</v>
      </c>
      <c r="BU59" s="1" t="b">
        <f t="shared" si="39"/>
        <v>1</v>
      </c>
      <c r="BV59" s="1" t="b">
        <f t="shared" si="40"/>
        <v>1</v>
      </c>
      <c r="CH59" s="2"/>
    </row>
    <row r="60" spans="1:86" x14ac:dyDescent="0.25">
      <c r="A60">
        <f t="shared" si="8"/>
        <v>2013</v>
      </c>
      <c r="B60" s="2">
        <f t="shared" si="64"/>
        <v>30818.165629849795</v>
      </c>
      <c r="C60" s="2"/>
      <c r="D60" s="2">
        <f t="shared" si="72"/>
        <v>33434.906036675478</v>
      </c>
      <c r="E60" s="2">
        <f t="shared" si="73"/>
        <v>13940.09387732958</v>
      </c>
      <c r="F60" s="2"/>
      <c r="G60" s="2">
        <f t="shared" si="65"/>
        <v>21363.478696064485</v>
      </c>
      <c r="H60" s="2">
        <f t="shared" si="23"/>
        <v>31943.709321882714</v>
      </c>
      <c r="I60" s="2">
        <f t="shared" si="41"/>
        <v>131500.35356180204</v>
      </c>
      <c r="J60" s="2">
        <f t="shared" si="24"/>
        <v>13770.180770107298</v>
      </c>
      <c r="K60" s="6">
        <f t="shared" si="25"/>
        <v>0.11696390520441598</v>
      </c>
      <c r="L60" s="7">
        <f t="shared" si="26"/>
        <v>1.116963905204416</v>
      </c>
      <c r="N60">
        <f t="shared" si="27"/>
        <v>2013</v>
      </c>
      <c r="O60" s="2">
        <f t="shared" si="28"/>
        <v>8414.8445875931338</v>
      </c>
      <c r="P60" s="2"/>
      <c r="Q60" s="2"/>
      <c r="R60">
        <f t="shared" si="29"/>
        <v>2013</v>
      </c>
      <c r="S60" s="2">
        <f t="shared" si="74"/>
        <v>29135.19671233117</v>
      </c>
      <c r="T60" s="2"/>
      <c r="U60" s="2">
        <f t="shared" si="84"/>
        <v>31751.93711915685</v>
      </c>
      <c r="V60" s="2">
        <f t="shared" si="85"/>
        <v>12257.124959810953</v>
      </c>
      <c r="W60" s="2"/>
      <c r="X60" s="2">
        <f t="shared" si="75"/>
        <v>19680.509778545857</v>
      </c>
      <c r="Y60" s="2">
        <f t="shared" si="76"/>
        <v>30260.740404364085</v>
      </c>
      <c r="Z60" s="2">
        <f t="shared" si="44"/>
        <v>123085.50897420892</v>
      </c>
      <c r="AA60" s="2">
        <f t="shared" si="94"/>
        <v>13621.391769540831</v>
      </c>
      <c r="AB60" s="6">
        <f t="shared" si="95"/>
        <v>0.1244370494860205</v>
      </c>
      <c r="AC60" s="7">
        <f t="shared" si="32"/>
        <v>1.1244370494860205</v>
      </c>
      <c r="AD60" s="2">
        <f t="shared" si="45"/>
        <v>0</v>
      </c>
      <c r="AE60" s="2"/>
      <c r="AG60">
        <f t="shared" si="13"/>
        <v>2013</v>
      </c>
      <c r="AH60" s="38">
        <f t="shared" si="91"/>
        <v>0.23670696051178614</v>
      </c>
      <c r="AI60" s="61"/>
      <c r="AJ60" s="38">
        <f t="shared" si="66"/>
        <v>0.2579664932434092</v>
      </c>
      <c r="AK60" s="38">
        <f t="shared" si="66"/>
        <v>9.9582193403281019E-2</v>
      </c>
      <c r="AL60" s="61"/>
      <c r="AM60" s="38">
        <f t="shared" si="92"/>
        <v>0.15989298774943256</v>
      </c>
      <c r="AN60" s="38">
        <f t="shared" si="14"/>
        <v>0.24585136509209105</v>
      </c>
      <c r="AO60" s="6">
        <f t="shared" si="33"/>
        <v>1</v>
      </c>
      <c r="AP60" s="7">
        <f t="shared" si="34"/>
        <v>0.75414863490790895</v>
      </c>
      <c r="AQ60" s="7">
        <f t="shared" si="35"/>
        <v>0</v>
      </c>
      <c r="AR60" s="7"/>
      <c r="AS60">
        <f t="shared" si="36"/>
        <v>2013</v>
      </c>
      <c r="AT60" s="2">
        <f t="shared" si="86"/>
        <v>29135.19671233117</v>
      </c>
      <c r="AU60" s="2"/>
      <c r="AV60" s="2">
        <f t="shared" si="87"/>
        <v>31751.93711915685</v>
      </c>
      <c r="AW60" s="2">
        <f t="shared" si="88"/>
        <v>12257.124959810953</v>
      </c>
      <c r="AX60" s="2"/>
      <c r="AY60" s="2">
        <f t="shared" si="89"/>
        <v>19680.509778545857</v>
      </c>
      <c r="AZ60" s="2">
        <f t="shared" si="90"/>
        <v>30260.740404364085</v>
      </c>
      <c r="BA60" s="2">
        <f t="shared" si="93"/>
        <v>123085.50897420892</v>
      </c>
      <c r="BB60" s="2">
        <f t="shared" si="18"/>
        <v>0</v>
      </c>
      <c r="BC60" s="2"/>
      <c r="BM60" s="24"/>
      <c r="BN60">
        <f t="shared" si="5"/>
        <v>2013</v>
      </c>
      <c r="BO60" s="1" t="b">
        <f t="shared" si="37"/>
        <v>1</v>
      </c>
      <c r="BQ60" s="1" t="b">
        <f t="shared" si="82"/>
        <v>0</v>
      </c>
      <c r="BR60" s="1" t="b">
        <f t="shared" si="83"/>
        <v>1</v>
      </c>
      <c r="BT60" s="1" t="b">
        <f t="shared" si="63"/>
        <v>1</v>
      </c>
      <c r="BU60" s="28" t="b">
        <f t="shared" si="39"/>
        <v>0</v>
      </c>
      <c r="BV60" s="1" t="b">
        <f t="shared" si="40"/>
        <v>1</v>
      </c>
      <c r="CH60" s="2"/>
    </row>
    <row r="61" spans="1:86" x14ac:dyDescent="0.25">
      <c r="A61">
        <f t="shared" si="8"/>
        <v>2014</v>
      </c>
      <c r="B61" s="2">
        <f t="shared" si="64"/>
        <v>33071.361788167109</v>
      </c>
      <c r="C61" s="2"/>
      <c r="D61" s="2">
        <f t="shared" si="72"/>
        <v>36070.200567362182</v>
      </c>
      <c r="E61" s="2">
        <f t="shared" si="73"/>
        <v>13160.475069349022</v>
      </c>
      <c r="F61" s="2"/>
      <c r="G61" s="2">
        <f t="shared" si="65"/>
        <v>18846.056163935511</v>
      </c>
      <c r="H61" s="2">
        <f t="shared" si="23"/>
        <v>32003.759051655459</v>
      </c>
      <c r="I61" s="2">
        <f t="shared" si="41"/>
        <v>133151.85264046927</v>
      </c>
      <c r="J61" s="2">
        <f t="shared" si="24"/>
        <v>1651.4990786672279</v>
      </c>
      <c r="K61" s="6">
        <f t="shared" si="25"/>
        <v>1.2558894587998675E-2</v>
      </c>
      <c r="L61" s="7">
        <f t="shared" si="26"/>
        <v>1.0125588945879986</v>
      </c>
      <c r="N61">
        <f t="shared" si="27"/>
        <v>2014</v>
      </c>
      <c r="O61" s="2">
        <f t="shared" si="28"/>
        <v>8512.0858336656402</v>
      </c>
      <c r="P61" s="2"/>
      <c r="Q61" s="2"/>
      <c r="R61">
        <f t="shared" si="29"/>
        <v>2014</v>
      </c>
      <c r="S61" s="2">
        <f t="shared" si="74"/>
        <v>31368.944621433981</v>
      </c>
      <c r="T61" s="2"/>
      <c r="U61" s="2">
        <f t="shared" si="84"/>
        <v>34367.783400629058</v>
      </c>
      <c r="V61" s="2">
        <f t="shared" si="85"/>
        <v>11458.057902615894</v>
      </c>
      <c r="W61" s="2"/>
      <c r="X61" s="2">
        <f t="shared" si="75"/>
        <v>17143.638997202383</v>
      </c>
      <c r="Y61" s="2">
        <f t="shared" si="76"/>
        <v>30301.341884922331</v>
      </c>
      <c r="Z61" s="2">
        <f t="shared" si="44"/>
        <v>124639.76680680364</v>
      </c>
      <c r="AA61" s="2">
        <f t="shared" si="94"/>
        <v>1554.2578325947252</v>
      </c>
      <c r="AB61" s="6">
        <f t="shared" si="95"/>
        <v>1.2627463992697964E-2</v>
      </c>
      <c r="AC61" s="7">
        <f t="shared" si="32"/>
        <v>1.012627463992698</v>
      </c>
      <c r="AD61" s="2">
        <f t="shared" si="45"/>
        <v>0</v>
      </c>
      <c r="AE61" s="2"/>
      <c r="AG61">
        <f t="shared" si="13"/>
        <v>2014</v>
      </c>
      <c r="AH61" s="59">
        <f t="shared" si="91"/>
        <v>0.25167685583090854</v>
      </c>
      <c r="AI61" s="60"/>
      <c r="AJ61" s="59">
        <f t="shared" si="66"/>
        <v>0.27573690388798966</v>
      </c>
      <c r="AK61" s="59">
        <f t="shared" si="66"/>
        <v>9.1929391366531651E-2</v>
      </c>
      <c r="AL61" s="60"/>
      <c r="AM61" s="59">
        <f t="shared" si="92"/>
        <v>0.13754549961390469</v>
      </c>
      <c r="AN61" s="59">
        <f t="shared" si="14"/>
        <v>0.24311134930066547</v>
      </c>
      <c r="AO61" s="6">
        <f t="shared" si="33"/>
        <v>1</v>
      </c>
      <c r="AP61" s="7">
        <f t="shared" si="34"/>
        <v>0.75688865069933453</v>
      </c>
      <c r="AQ61" s="7">
        <f t="shared" si="35"/>
        <v>0</v>
      </c>
      <c r="AR61" s="7"/>
      <c r="AS61">
        <f t="shared" si="36"/>
        <v>2014</v>
      </c>
      <c r="AT61" s="2">
        <f t="shared" si="86"/>
        <v>31368.944621433981</v>
      </c>
      <c r="AU61" s="2"/>
      <c r="AV61" s="2">
        <f t="shared" si="87"/>
        <v>34367.783400629058</v>
      </c>
      <c r="AW61" s="2">
        <f t="shared" si="88"/>
        <v>11458.057902615894</v>
      </c>
      <c r="AX61" s="2"/>
      <c r="AY61" s="2">
        <f t="shared" si="89"/>
        <v>17143.638997202383</v>
      </c>
      <c r="AZ61" s="2">
        <f t="shared" si="90"/>
        <v>30301.341884922331</v>
      </c>
      <c r="BA61" s="2">
        <f t="shared" si="93"/>
        <v>124639.76680680364</v>
      </c>
      <c r="BB61" s="2">
        <f t="shared" si="18"/>
        <v>0</v>
      </c>
      <c r="BC61" s="2"/>
      <c r="BM61" s="24"/>
      <c r="BN61">
        <f t="shared" si="5"/>
        <v>2014</v>
      </c>
      <c r="BO61" s="1" t="b">
        <f t="shared" si="37"/>
        <v>0</v>
      </c>
      <c r="BQ61" s="1" t="b">
        <f t="shared" si="82"/>
        <v>0</v>
      </c>
      <c r="BR61" s="1" t="b">
        <f t="shared" si="83"/>
        <v>1</v>
      </c>
      <c r="BT61" s="1" t="b">
        <f t="shared" si="63"/>
        <v>0</v>
      </c>
      <c r="BU61" s="1" t="b">
        <f t="shared" si="39"/>
        <v>0</v>
      </c>
      <c r="BV61" s="1" t="b">
        <f t="shared" si="40"/>
        <v>1</v>
      </c>
      <c r="CH61" s="2"/>
    </row>
    <row r="62" spans="1:86" x14ac:dyDescent="0.25">
      <c r="A62">
        <f t="shared" si="8"/>
        <v>2015</v>
      </c>
      <c r="B62" s="2">
        <f t="shared" si="64"/>
        <v>31761.056429201904</v>
      </c>
      <c r="C62" s="2"/>
      <c r="D62" s="2">
        <f t="shared" si="72"/>
        <v>33866.013762979877</v>
      </c>
      <c r="E62" s="2">
        <f t="shared" si="73"/>
        <v>11024.943313897013</v>
      </c>
      <c r="F62" s="2"/>
      <c r="G62" s="2">
        <f t="shared" si="65"/>
        <v>16394.461973024638</v>
      </c>
      <c r="H62" s="2">
        <f t="shared" si="23"/>
        <v>30392.245910577094</v>
      </c>
      <c r="I62" s="2">
        <f t="shared" si="41"/>
        <v>123438.72138968053</v>
      </c>
      <c r="J62" s="2">
        <f t="shared" si="24"/>
        <v>-9713.1312507887342</v>
      </c>
      <c r="K62" s="6">
        <f t="shared" si="25"/>
        <v>-7.2947773975144764E-2</v>
      </c>
      <c r="L62" s="7">
        <f t="shared" si="26"/>
        <v>0.92705222602485526</v>
      </c>
      <c r="N62">
        <f t="shared" si="27"/>
        <v>2015</v>
      </c>
      <c r="O62" s="2">
        <f t="shared" si="28"/>
        <v>8621.8917409199257</v>
      </c>
      <c r="P62" s="2"/>
      <c r="Q62" s="2"/>
      <c r="R62">
        <f t="shared" si="29"/>
        <v>2015</v>
      </c>
      <c r="S62" s="2">
        <f t="shared" ref="S62:S64" si="101">B62-($O62/5)</f>
        <v>30036.678081017919</v>
      </c>
      <c r="T62" s="2"/>
      <c r="U62" s="2">
        <f t="shared" ref="U62:V64" si="102">D62-($O62/5)</f>
        <v>32141.635414795892</v>
      </c>
      <c r="V62" s="2">
        <f t="shared" si="102"/>
        <v>9300.564965713027</v>
      </c>
      <c r="W62" s="2"/>
      <c r="X62" s="2">
        <f t="shared" ref="X62:Y64" si="103">G62-($O62/5)</f>
        <v>14670.083624840652</v>
      </c>
      <c r="Y62" s="2">
        <f t="shared" si="103"/>
        <v>28667.867562393109</v>
      </c>
      <c r="Z62" s="2">
        <f t="shared" si="44"/>
        <v>114816.8296487606</v>
      </c>
      <c r="AA62" s="2">
        <f t="shared" si="94"/>
        <v>-9822.9371580430452</v>
      </c>
      <c r="AB62" s="6">
        <f t="shared" si="95"/>
        <v>-7.8810618871495236E-2</v>
      </c>
      <c r="AC62" s="7">
        <f t="shared" si="32"/>
        <v>0.92118938112850479</v>
      </c>
      <c r="AD62" s="2">
        <f t="shared" si="45"/>
        <v>0</v>
      </c>
      <c r="AE62" s="2"/>
      <c r="AG62">
        <f t="shared" si="13"/>
        <v>2015</v>
      </c>
      <c r="AH62" s="6">
        <f t="shared" si="91"/>
        <v>0.26160518604201116</v>
      </c>
      <c r="AI62" s="7"/>
      <c r="AJ62" s="6">
        <f t="shared" si="66"/>
        <v>0.27993836367996988</v>
      </c>
      <c r="AK62" s="6">
        <f t="shared" si="66"/>
        <v>8.100349917485658E-2</v>
      </c>
      <c r="AL62" s="7"/>
      <c r="AM62" s="6">
        <f t="shared" si="92"/>
        <v>0.12776945391819577</v>
      </c>
      <c r="AN62" s="6">
        <f t="shared" si="14"/>
        <v>0.24968349718496663</v>
      </c>
      <c r="AO62" s="6">
        <f t="shared" si="33"/>
        <v>1</v>
      </c>
      <c r="AP62" s="7">
        <f t="shared" si="34"/>
        <v>0.75031650281503337</v>
      </c>
      <c r="AQ62" s="7">
        <f t="shared" si="35"/>
        <v>0</v>
      </c>
      <c r="AR62" s="7"/>
      <c r="AS62">
        <f t="shared" si="36"/>
        <v>2015</v>
      </c>
      <c r="AT62" s="2">
        <f>S62</f>
        <v>30036.678081017919</v>
      </c>
      <c r="AU62" s="2"/>
      <c r="AV62" s="2">
        <f t="shared" ref="AV62:AW64" si="104">U62</f>
        <v>32141.635414795892</v>
      </c>
      <c r="AW62" s="2">
        <f t="shared" si="104"/>
        <v>9300.564965713027</v>
      </c>
      <c r="AX62" s="2"/>
      <c r="AY62" s="2">
        <f t="shared" ref="AY62:AZ64" si="105">X62</f>
        <v>14670.083624840652</v>
      </c>
      <c r="AZ62" s="2">
        <f t="shared" si="105"/>
        <v>28667.867562393109</v>
      </c>
      <c r="BA62" s="2">
        <f t="shared" si="93"/>
        <v>114816.8296487606</v>
      </c>
      <c r="BB62" s="2">
        <f t="shared" si="18"/>
        <v>0</v>
      </c>
      <c r="BC62" s="2"/>
      <c r="BM62" s="24"/>
      <c r="BN62">
        <f t="shared" si="5"/>
        <v>2015</v>
      </c>
      <c r="BO62" s="1" t="b">
        <f t="shared" si="37"/>
        <v>0</v>
      </c>
      <c r="BQ62" s="1" t="b">
        <f t="shared" si="82"/>
        <v>0</v>
      </c>
      <c r="BR62" s="1" t="b">
        <f t="shared" si="83"/>
        <v>1</v>
      </c>
      <c r="BT62" s="1" t="b">
        <f t="shared" si="63"/>
        <v>0</v>
      </c>
      <c r="BU62" s="28" t="b">
        <f t="shared" si="39"/>
        <v>0</v>
      </c>
      <c r="BV62" s="1" t="b">
        <f t="shared" si="40"/>
        <v>1</v>
      </c>
      <c r="CH62" s="2"/>
    </row>
    <row r="63" spans="1:86" x14ac:dyDescent="0.25">
      <c r="A63">
        <f t="shared" si="8"/>
        <v>2016</v>
      </c>
      <c r="B63" s="2">
        <f t="shared" si="64"/>
        <v>33587.013430194238</v>
      </c>
      <c r="C63" s="2"/>
      <c r="D63" s="2">
        <f t="shared" si="72"/>
        <v>35699.714455213798</v>
      </c>
      <c r="E63" s="2">
        <f t="shared" si="73"/>
        <v>10990.477619983083</v>
      </c>
      <c r="F63" s="2"/>
      <c r="G63" s="2">
        <f t="shared" si="65"/>
        <v>15352.242513395742</v>
      </c>
      <c r="H63" s="2">
        <f t="shared" si="23"/>
        <v>29384.564251452935</v>
      </c>
      <c r="I63" s="2">
        <f t="shared" si="41"/>
        <v>125014.01227023979</v>
      </c>
      <c r="J63" s="2">
        <f t="shared" si="24"/>
        <v>1575.2908805592597</v>
      </c>
      <c r="K63" s="6">
        <f t="shared" si="25"/>
        <v>1.2761723896882116E-2</v>
      </c>
      <c r="L63" s="7">
        <f t="shared" si="26"/>
        <v>1.012761723896882</v>
      </c>
      <c r="N63">
        <f t="shared" si="27"/>
        <v>2016</v>
      </c>
      <c r="O63" s="2">
        <f t="shared" si="28"/>
        <v>8659.8280645799732</v>
      </c>
      <c r="P63" s="2"/>
      <c r="Q63" s="2"/>
      <c r="R63">
        <f t="shared" si="29"/>
        <v>2016</v>
      </c>
      <c r="S63" s="2">
        <f t="shared" si="101"/>
        <v>31855.047817278242</v>
      </c>
      <c r="T63" s="2"/>
      <c r="U63" s="2">
        <f t="shared" si="102"/>
        <v>33967.748842297806</v>
      </c>
      <c r="V63" s="2">
        <f t="shared" si="102"/>
        <v>9258.5120070670891</v>
      </c>
      <c r="W63" s="2"/>
      <c r="X63" s="2">
        <f t="shared" si="103"/>
        <v>13620.276900479748</v>
      </c>
      <c r="Y63" s="2">
        <f t="shared" si="103"/>
        <v>27652.59863853694</v>
      </c>
      <c r="Z63" s="2">
        <f t="shared" si="44"/>
        <v>116354.18420565981</v>
      </c>
      <c r="AA63" s="2">
        <f t="shared" si="94"/>
        <v>1537.3545568992122</v>
      </c>
      <c r="AB63" s="6">
        <f t="shared" si="95"/>
        <v>1.3389627301173329E-2</v>
      </c>
      <c r="AC63" s="7">
        <f t="shared" si="32"/>
        <v>1.0133896273011733</v>
      </c>
      <c r="AD63" s="2">
        <f t="shared" si="45"/>
        <v>0</v>
      </c>
      <c r="AE63" s="2"/>
      <c r="AG63">
        <f t="shared" si="13"/>
        <v>2016</v>
      </c>
      <c r="AH63" s="6">
        <f t="shared" si="91"/>
        <v>0.27377655590772232</v>
      </c>
      <c r="AI63" s="7"/>
      <c r="AJ63" s="6">
        <f t="shared" si="66"/>
        <v>0.29193405526576255</v>
      </c>
      <c r="AK63" s="6">
        <f t="shared" si="66"/>
        <v>7.9571801136969572E-2</v>
      </c>
      <c r="AL63" s="7"/>
      <c r="AM63" s="6">
        <f t="shared" si="92"/>
        <v>0.1170587632362706</v>
      </c>
      <c r="AN63" s="6">
        <f t="shared" si="14"/>
        <v>0.2376588244532751</v>
      </c>
      <c r="AO63" s="6">
        <f t="shared" si="33"/>
        <v>1.0000000000000002</v>
      </c>
      <c r="AP63" s="7">
        <f t="shared" si="34"/>
        <v>0.76234117554672509</v>
      </c>
      <c r="AQ63" s="7">
        <f t="shared" si="35"/>
        <v>0</v>
      </c>
      <c r="AR63" s="7"/>
      <c r="AS63">
        <f t="shared" si="36"/>
        <v>2016</v>
      </c>
      <c r="AT63" s="2">
        <f t="shared" ref="AT63:AT64" si="106">S63</f>
        <v>31855.047817278242</v>
      </c>
      <c r="AU63" s="2"/>
      <c r="AV63" s="2">
        <f t="shared" si="104"/>
        <v>33967.748842297806</v>
      </c>
      <c r="AW63" s="2">
        <f t="shared" si="104"/>
        <v>9258.5120070670891</v>
      </c>
      <c r="AX63" s="2"/>
      <c r="AY63" s="2">
        <f t="shared" si="105"/>
        <v>13620.276900479748</v>
      </c>
      <c r="AZ63" s="2">
        <f t="shared" si="105"/>
        <v>27652.59863853694</v>
      </c>
      <c r="BA63" s="2">
        <f t="shared" si="93"/>
        <v>116354.18420565981</v>
      </c>
      <c r="BB63" s="2">
        <f t="shared" ref="BB63:BB64" si="107">SUM(AT63:AZ63)-Z63</f>
        <v>0</v>
      </c>
      <c r="BC63" s="2"/>
      <c r="BM63" s="24"/>
      <c r="BN63">
        <f t="shared" si="5"/>
        <v>2016</v>
      </c>
      <c r="BO63" s="1" t="b">
        <f t="shared" si="37"/>
        <v>0</v>
      </c>
      <c r="BQ63" s="1" t="b">
        <f t="shared" si="82"/>
        <v>0</v>
      </c>
      <c r="BR63" s="1" t="b">
        <f t="shared" si="83"/>
        <v>1</v>
      </c>
      <c r="BT63" s="1" t="b">
        <f t="shared" si="63"/>
        <v>0</v>
      </c>
      <c r="BU63" s="1" t="b">
        <f t="shared" si="39"/>
        <v>0</v>
      </c>
      <c r="BV63" s="1" t="b">
        <f t="shared" si="40"/>
        <v>1</v>
      </c>
      <c r="CH63" s="2"/>
    </row>
    <row r="64" spans="1:86" x14ac:dyDescent="0.25">
      <c r="A64">
        <f t="shared" si="8"/>
        <v>2017</v>
      </c>
      <c r="B64" s="2">
        <f t="shared" si="64"/>
        <v>38758.036679282435</v>
      </c>
      <c r="C64" s="2"/>
      <c r="D64" s="2">
        <f t="shared" si="72"/>
        <v>40625.427615388173</v>
      </c>
      <c r="E64" s="2">
        <f t="shared" si="73"/>
        <v>10749.13244020489</v>
      </c>
      <c r="F64" s="2"/>
      <c r="G64" s="2">
        <f t="shared" si="65"/>
        <v>17352.232771211198</v>
      </c>
      <c r="H64" s="2">
        <f t="shared" si="23"/>
        <v>28609.378551430316</v>
      </c>
      <c r="I64" s="2">
        <f t="shared" si="41"/>
        <v>136094.20805751701</v>
      </c>
      <c r="J64" s="2">
        <f t="shared" si="24"/>
        <v>11080.195787277218</v>
      </c>
      <c r="K64" s="6">
        <f t="shared" si="25"/>
        <v>8.8631630855311033E-2</v>
      </c>
      <c r="L64" s="7">
        <f t="shared" si="26"/>
        <v>1.088631630855311</v>
      </c>
      <c r="N64">
        <f t="shared" si="27"/>
        <v>2017</v>
      </c>
      <c r="O64" s="2">
        <f t="shared" si="28"/>
        <v>8807.0451416778324</v>
      </c>
      <c r="P64" s="2"/>
      <c r="Q64" s="2"/>
      <c r="R64">
        <f t="shared" si="29"/>
        <v>2017</v>
      </c>
      <c r="S64" s="2">
        <f t="shared" si="101"/>
        <v>36996.627650946866</v>
      </c>
      <c r="T64" s="2"/>
      <c r="U64" s="2">
        <f t="shared" si="102"/>
        <v>38864.018587052604</v>
      </c>
      <c r="V64" s="2">
        <f t="shared" si="102"/>
        <v>8987.7234118693232</v>
      </c>
      <c r="W64" s="2"/>
      <c r="X64" s="2">
        <f t="shared" si="103"/>
        <v>15590.823742875631</v>
      </c>
      <c r="Y64" s="2">
        <f t="shared" si="103"/>
        <v>26847.969523094751</v>
      </c>
      <c r="Z64" s="2">
        <f t="shared" si="44"/>
        <v>127287.16291583916</v>
      </c>
      <c r="AA64" s="2">
        <f t="shared" si="94"/>
        <v>10932.978710179348</v>
      </c>
      <c r="AB64" s="6">
        <f t="shared" si="95"/>
        <v>9.396291834984595E-2</v>
      </c>
      <c r="AC64" s="7">
        <f t="shared" si="32"/>
        <v>1.093962918349846</v>
      </c>
      <c r="AD64" s="2">
        <f t="shared" si="45"/>
        <v>0</v>
      </c>
      <c r="AE64" s="2"/>
      <c r="AG64">
        <f t="shared" si="13"/>
        <v>2017</v>
      </c>
      <c r="AH64" s="6">
        <f t="shared" si="91"/>
        <v>0.29065482177027246</v>
      </c>
      <c r="AI64" s="7"/>
      <c r="AJ64" s="6">
        <f t="shared" si="66"/>
        <v>0.30532551513265366</v>
      </c>
      <c r="AK64" s="6">
        <f t="shared" si="66"/>
        <v>7.0609818036496769E-2</v>
      </c>
      <c r="AL64" s="7"/>
      <c r="AM64" s="6">
        <f t="shared" si="92"/>
        <v>0.12248543675361913</v>
      </c>
      <c r="AN64" s="6">
        <f t="shared" si="14"/>
        <v>0.21092440830695808</v>
      </c>
      <c r="AO64" s="6">
        <f t="shared" si="33"/>
        <v>1.0000000000000002</v>
      </c>
      <c r="AP64" s="7">
        <f t="shared" si="34"/>
        <v>0.78907559169304209</v>
      </c>
      <c r="AQ64" s="7">
        <f t="shared" si="35"/>
        <v>0</v>
      </c>
      <c r="AR64" s="7"/>
      <c r="AS64">
        <f t="shared" si="36"/>
        <v>2017</v>
      </c>
      <c r="AT64" s="2">
        <f t="shared" si="106"/>
        <v>36996.627650946866</v>
      </c>
      <c r="AU64" s="2"/>
      <c r="AV64" s="2">
        <f t="shared" si="104"/>
        <v>38864.018587052604</v>
      </c>
      <c r="AW64" s="2">
        <f t="shared" si="104"/>
        <v>8987.7234118693232</v>
      </c>
      <c r="AX64" s="2"/>
      <c r="AY64" s="2">
        <f t="shared" si="105"/>
        <v>15590.823742875631</v>
      </c>
      <c r="AZ64" s="2">
        <f t="shared" si="105"/>
        <v>26847.969523094751</v>
      </c>
      <c r="BA64" s="2">
        <f t="shared" si="93"/>
        <v>127287.16291583916</v>
      </c>
      <c r="BB64" s="2">
        <f t="shared" si="107"/>
        <v>0</v>
      </c>
      <c r="BC64" s="2"/>
      <c r="BM64" s="24"/>
      <c r="BN64">
        <f t="shared" si="5"/>
        <v>2017</v>
      </c>
      <c r="BO64" s="1" t="b">
        <f t="shared" si="37"/>
        <v>0</v>
      </c>
      <c r="BQ64" s="1" t="b">
        <f t="shared" si="82"/>
        <v>0</v>
      </c>
      <c r="BR64" s="1" t="b">
        <f t="shared" si="83"/>
        <v>1</v>
      </c>
      <c r="BT64" s="1" t="b">
        <f t="shared" si="63"/>
        <v>0</v>
      </c>
      <c r="BU64" s="1" t="b">
        <f t="shared" si="39"/>
        <v>0</v>
      </c>
      <c r="BV64" s="1" t="b">
        <f t="shared" si="40"/>
        <v>1</v>
      </c>
      <c r="CH64" s="2"/>
    </row>
    <row r="65" spans="1:37" x14ac:dyDescent="0.25">
      <c r="A65" s="9" t="s">
        <v>79</v>
      </c>
      <c r="B65" s="10">
        <f>AT64</f>
        <v>36996.627650946866</v>
      </c>
      <c r="C65" s="10"/>
      <c r="D65" s="10">
        <f>AV64</f>
        <v>38864.018587052604</v>
      </c>
      <c r="E65" s="10">
        <f>AW64</f>
        <v>8987.7234118693232</v>
      </c>
      <c r="F65" s="10"/>
      <c r="G65" s="10">
        <f>AY64</f>
        <v>15590.823742875631</v>
      </c>
      <c r="H65" s="10">
        <f>AZ64</f>
        <v>26847.969523094751</v>
      </c>
      <c r="I65" s="10">
        <f>SUM(B65:H65)</f>
        <v>127287.16291583916</v>
      </c>
      <c r="J65" s="10"/>
      <c r="K65" s="10"/>
      <c r="L65" s="74"/>
      <c r="N65" t="s">
        <v>40</v>
      </c>
      <c r="O65" s="2">
        <f>O64</f>
        <v>8807.0451416778324</v>
      </c>
      <c r="P65" s="2"/>
      <c r="R65" s="9" t="s">
        <v>79</v>
      </c>
      <c r="S65" s="10">
        <f>S64</f>
        <v>36996.627650946866</v>
      </c>
      <c r="T65" s="10"/>
      <c r="U65" s="10">
        <f>U64</f>
        <v>38864.018587052604</v>
      </c>
      <c r="V65" s="10">
        <f>V64</f>
        <v>8987.7234118693232</v>
      </c>
      <c r="W65" s="10"/>
      <c r="X65" s="10">
        <f>X64</f>
        <v>15590.823742875631</v>
      </c>
      <c r="Y65" s="10">
        <f>Y64</f>
        <v>26847.969523094751</v>
      </c>
      <c r="Z65" s="10">
        <f>SUM(S65:Y65)</f>
        <v>127287.16291583916</v>
      </c>
      <c r="AA65" s="10"/>
      <c r="AB65" s="10"/>
      <c r="AC65" s="10"/>
      <c r="AD65" s="10"/>
      <c r="AE65" s="43"/>
      <c r="AK65" s="7"/>
    </row>
    <row r="66" spans="1:37" x14ac:dyDescent="0.25">
      <c r="A66" s="11" t="s">
        <v>11</v>
      </c>
      <c r="I66" s="6">
        <f>(Z65-Z39)/Z39</f>
        <v>0.27287162915839158</v>
      </c>
      <c r="K66" s="6"/>
      <c r="N66" t="s">
        <v>71</v>
      </c>
      <c r="O66" s="2">
        <f>SUM(O40:O64)</f>
        <v>175900.24499739174</v>
      </c>
      <c r="P66" s="2"/>
    </row>
    <row r="67" spans="1:37" x14ac:dyDescent="0.25">
      <c r="A67" s="1" t="s">
        <v>12</v>
      </c>
      <c r="I67" s="12">
        <f>STDEV(AC40:AC64)</f>
        <v>0.1120332331457565</v>
      </c>
    </row>
    <row r="68" spans="1:37" x14ac:dyDescent="0.25">
      <c r="A68" s="1" t="s">
        <v>13</v>
      </c>
      <c r="I68" s="13">
        <f>((1+I66)^(1/I75))-1</f>
        <v>9.6977401966624743E-3</v>
      </c>
    </row>
    <row r="69" spans="1:37" x14ac:dyDescent="0.25">
      <c r="A69" s="1" t="s">
        <v>83</v>
      </c>
      <c r="I69" s="31">
        <f>J60</f>
        <v>13770.180770107298</v>
      </c>
      <c r="O69" s="2"/>
      <c r="P69" s="2"/>
    </row>
    <row r="70" spans="1:37" x14ac:dyDescent="0.25">
      <c r="A70" s="1" t="s">
        <v>84</v>
      </c>
      <c r="I70" s="32">
        <f>K60</f>
        <v>0.11696390520441598</v>
      </c>
    </row>
    <row r="71" spans="1:37" x14ac:dyDescent="0.25">
      <c r="A71" s="1" t="s">
        <v>43</v>
      </c>
      <c r="I71" s="2">
        <f>O66</f>
        <v>175900.24499739174</v>
      </c>
    </row>
    <row r="72" spans="1:37" x14ac:dyDescent="0.25">
      <c r="A72" s="3" t="s">
        <v>5</v>
      </c>
      <c r="B72" s="3"/>
      <c r="C72" s="3"/>
      <c r="D72" s="3"/>
      <c r="E72" s="3"/>
      <c r="F72" s="3"/>
      <c r="G72" s="3"/>
      <c r="H72" s="3"/>
      <c r="I72" s="33">
        <f>I65-Z65</f>
        <v>0</v>
      </c>
    </row>
    <row r="73" spans="1:37" x14ac:dyDescent="0.25">
      <c r="A73" s="3" t="s">
        <v>149</v>
      </c>
      <c r="B73" s="3"/>
      <c r="C73" s="3"/>
      <c r="D73" s="3"/>
      <c r="E73" s="3"/>
      <c r="F73" s="3"/>
      <c r="G73" s="3"/>
      <c r="H73" s="3"/>
      <c r="I73" s="33">
        <f>((SUM(AA40:AA64)))-(I65-I39)</f>
        <v>0</v>
      </c>
    </row>
    <row r="74" spans="1:37" x14ac:dyDescent="0.25">
      <c r="A74" s="3" t="s">
        <v>148</v>
      </c>
      <c r="B74" s="3"/>
      <c r="C74" s="3"/>
      <c r="D74" s="3"/>
      <c r="E74" s="3"/>
      <c r="F74" s="3"/>
      <c r="G74" s="3"/>
      <c r="H74" s="3"/>
      <c r="I74" s="33">
        <f>(SUM(O40:O64))-I71</f>
        <v>0</v>
      </c>
    </row>
    <row r="75" spans="1:37" x14ac:dyDescent="0.25">
      <c r="A75" s="3" t="s">
        <v>153</v>
      </c>
      <c r="B75" s="3"/>
      <c r="C75" s="3"/>
      <c r="D75" s="3"/>
      <c r="E75" s="3"/>
      <c r="F75" s="3"/>
      <c r="G75" s="3"/>
      <c r="H75" s="3"/>
      <c r="I75" s="75">
        <f>COUNTA(I40:I64)</f>
        <v>25</v>
      </c>
    </row>
    <row r="76" spans="1:37" x14ac:dyDescent="0.25">
      <c r="A76" s="1" t="s">
        <v>106</v>
      </c>
      <c r="B76" s="63"/>
      <c r="C76" s="63"/>
      <c r="D76" s="63"/>
      <c r="E76" s="63"/>
      <c r="G76" s="63"/>
      <c r="H76" s="63"/>
      <c r="I76" s="86">
        <f>(SUM(B65:G65)/I65)</f>
        <v>0.78907559169304187</v>
      </c>
    </row>
    <row r="77" spans="1:37" x14ac:dyDescent="0.25">
      <c r="A77" s="1" t="s">
        <v>107</v>
      </c>
      <c r="B77" s="63"/>
      <c r="C77" s="63"/>
      <c r="D77" s="63"/>
      <c r="E77" s="63"/>
      <c r="G77" s="63"/>
      <c r="H77" s="63"/>
      <c r="I77" s="86">
        <f>(H65/I65)</f>
        <v>0.21092440830695808</v>
      </c>
    </row>
    <row r="78" spans="1:37" x14ac:dyDescent="0.25">
      <c r="A78" s="3" t="s">
        <v>108</v>
      </c>
      <c r="I78" s="3">
        <f>100%-(I76+I77)</f>
        <v>0</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29F-1061-48B8-9244-D651830B104E}">
  <dimension ref="A1:BM78"/>
  <sheetViews>
    <sheetView topLeftCell="A59" zoomScaleNormal="100" workbookViewId="0">
      <pane xSplit="30000" topLeftCell="AV1"/>
      <selection activeCell="A76" sqref="A76"/>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1993</v>
      </c>
      <c r="B4" s="17">
        <f>'Non-Rebalanced Portfolio'!B4</f>
        <v>9.89</v>
      </c>
      <c r="C4" s="19">
        <f>'Non-Rebalanced Portfolio'!C4</f>
        <v>14.49</v>
      </c>
      <c r="D4" s="17"/>
      <c r="E4" s="17"/>
      <c r="F4" s="17">
        <f>'Non-Rebalanced Portfolio'!F4</f>
        <v>30.494</v>
      </c>
      <c r="G4" s="17"/>
      <c r="H4" s="17">
        <f>'Non-Rebalanced Portfolio'!H4</f>
        <v>9.68</v>
      </c>
      <c r="N4" s="49">
        <f>'4.5% Withdrawals-No Rebalancing'!N4</f>
        <v>1993</v>
      </c>
      <c r="O4" s="50">
        <f>'4.5% Withdrawals-No Rebalancing'!O4</f>
        <v>0.03</v>
      </c>
      <c r="P4" s="44"/>
    </row>
    <row r="5" spans="1:16" x14ac:dyDescent="0.25">
      <c r="A5" s="17">
        <f>'Non-Rebalanced Portfolio'!A5</f>
        <v>1994</v>
      </c>
      <c r="B5" s="17">
        <f>'Non-Rebalanced Portfolio'!B5</f>
        <v>1.18</v>
      </c>
      <c r="C5" s="19">
        <f>'Non-Rebalanced Portfolio'!C5</f>
        <v>-1.764</v>
      </c>
      <c r="D5" s="17"/>
      <c r="E5" s="17"/>
      <c r="F5" s="17">
        <f>'Non-Rebalanced Portfolio'!F5</f>
        <v>5.2549999999999999</v>
      </c>
      <c r="G5" s="17"/>
      <c r="H5" s="17">
        <f>'Non-Rebalanced Portfolio'!H5</f>
        <v>-2.66</v>
      </c>
      <c r="N5" s="49">
        <f>'4.5% Withdrawals-No Rebalancing'!N5</f>
        <v>1994</v>
      </c>
      <c r="O5" s="50">
        <f>'4.5% Withdrawals-No Rebalancing'!O5</f>
        <v>2.8000000000000001E-2</v>
      </c>
      <c r="P5" s="44"/>
    </row>
    <row r="6" spans="1:16" x14ac:dyDescent="0.25">
      <c r="A6" s="17">
        <f>'Non-Rebalanced Portfolio'!A6</f>
        <v>1995</v>
      </c>
      <c r="B6" s="17">
        <f>'Non-Rebalanced Portfolio'!B6</f>
        <v>37.450000000000003</v>
      </c>
      <c r="C6" s="19">
        <f>'Non-Rebalanced Portfolio'!C6</f>
        <v>33.796999999999997</v>
      </c>
      <c r="D6" s="17"/>
      <c r="E6" s="17"/>
      <c r="F6" s="17">
        <f>'Non-Rebalanced Portfolio'!F6</f>
        <v>9.6460000000000008</v>
      </c>
      <c r="G6" s="17"/>
      <c r="H6" s="17">
        <f>'Non-Rebalanced Portfolio'!H6</f>
        <v>18.18</v>
      </c>
      <c r="N6" s="49">
        <f>'4.5% Withdrawals-No Rebalancing'!N6</f>
        <v>1995</v>
      </c>
      <c r="O6" s="50">
        <f>'4.5% Withdrawals-No Rebalancing'!O6</f>
        <v>2.5999999999999999E-2</v>
      </c>
      <c r="P6" s="44"/>
    </row>
    <row r="7" spans="1:16" x14ac:dyDescent="0.25">
      <c r="A7" s="17">
        <f>'Non-Rebalanced Portfolio'!A7</f>
        <v>1996</v>
      </c>
      <c r="B7" s="17">
        <f>'Non-Rebalanced Portfolio'!B7</f>
        <v>22.88</v>
      </c>
      <c r="C7" s="19">
        <f>'Non-Rebalanced Portfolio'!C7</f>
        <v>17.646999999999998</v>
      </c>
      <c r="D7" s="17"/>
      <c r="E7" s="17"/>
      <c r="F7" s="17">
        <f>'Non-Rebalanced Portfolio'!F7</f>
        <v>10.218999999999999</v>
      </c>
      <c r="G7" s="17"/>
      <c r="H7" s="17">
        <f>'Non-Rebalanced Portfolio'!H7</f>
        <v>3.58</v>
      </c>
      <c r="N7" s="49">
        <f>'4.5% Withdrawals-No Rebalancing'!N7</f>
        <v>1996</v>
      </c>
      <c r="O7" s="50">
        <f>'4.5% Withdrawals-No Rebalancing'!O7</f>
        <v>2.5000000000000001E-2</v>
      </c>
      <c r="P7" s="44"/>
    </row>
    <row r="8" spans="1:16" x14ac:dyDescent="0.25">
      <c r="A8" s="17">
        <f>'Non-Rebalanced Portfolio'!A8</f>
        <v>1997</v>
      </c>
      <c r="B8" s="17">
        <f>'Non-Rebalanced Portfolio'!B8</f>
        <v>33.19</v>
      </c>
      <c r="C8" s="19">
        <f>'Non-Rebalanced Portfolio'!C8</f>
        <v>26.687000000000001</v>
      </c>
      <c r="D8" s="17"/>
      <c r="E8" s="17"/>
      <c r="F8" s="17">
        <f>'Non-Rebalanced Portfolio'!F8</f>
        <v>0</v>
      </c>
      <c r="G8" s="17"/>
      <c r="H8" s="17">
        <f>'Non-Rebalanced Portfolio'!H8</f>
        <v>9.44</v>
      </c>
      <c r="N8" s="49">
        <f>'4.5% Withdrawals-No Rebalancing'!N8</f>
        <v>1997</v>
      </c>
      <c r="O8" s="50">
        <f>'4.5% Withdrawals-No Rebalancing'!O8</f>
        <v>3.4000000000000002E-2</v>
      </c>
      <c r="P8" s="44"/>
    </row>
    <row r="9" spans="1:16" x14ac:dyDescent="0.25">
      <c r="A9" s="17">
        <f>'Non-Rebalanced Portfolio'!A9</f>
        <v>1998</v>
      </c>
      <c r="B9" s="17">
        <f>'Non-Rebalanced Portfolio'!B9</f>
        <v>28.66</v>
      </c>
      <c r="C9" s="19">
        <f>'Non-Rebalanced Portfolio'!C9</f>
        <v>8.3529999999999998</v>
      </c>
      <c r="D9" s="17"/>
      <c r="E9" s="17"/>
      <c r="F9" s="17">
        <f>'Non-Rebalanced Portfolio'!F9</f>
        <v>0</v>
      </c>
      <c r="G9" s="17"/>
      <c r="H9" s="17">
        <f>'Non-Rebalanced Portfolio'!H9</f>
        <v>8.58</v>
      </c>
      <c r="N9" s="49">
        <f>'4.5% Withdrawals-No Rebalancing'!N9</f>
        <v>1998</v>
      </c>
      <c r="O9" s="50">
        <f>'4.5% Withdrawals-No Rebalancing'!O9</f>
        <v>1.7000000000000001E-2</v>
      </c>
      <c r="P9" s="44"/>
    </row>
    <row r="10" spans="1:16" x14ac:dyDescent="0.25">
      <c r="A10" s="17">
        <f>'Non-Rebalanced Portfolio'!A10</f>
        <v>1999</v>
      </c>
      <c r="B10" s="17">
        <f>'Non-Rebalanced Portfolio'!B10</f>
        <v>21.07</v>
      </c>
      <c r="C10" s="19">
        <f>'Non-Rebalanced Portfolio'!C10</f>
        <v>0</v>
      </c>
      <c r="D10" s="17"/>
      <c r="E10" s="17"/>
      <c r="F10" s="17">
        <f>'Non-Rebalanced Portfolio'!F10</f>
        <v>0</v>
      </c>
      <c r="G10" s="17"/>
      <c r="H10" s="17">
        <f>'Non-Rebalanced Portfolio'!H10</f>
        <v>-0.76</v>
      </c>
      <c r="N10" s="49">
        <f>'4.5% Withdrawals-No Rebalancing'!N10</f>
        <v>1999</v>
      </c>
      <c r="O10" s="50">
        <f>'4.5% Withdrawals-No Rebalancing'!O10</f>
        <v>1.6E-2</v>
      </c>
      <c r="P10" s="44"/>
    </row>
    <row r="11" spans="1:16" x14ac:dyDescent="0.25">
      <c r="A11" s="17">
        <f>'Non-Rebalanced Portfolio'!A11</f>
        <v>2000</v>
      </c>
      <c r="B11" s="17">
        <f>'Non-Rebalanced Portfolio'!B11</f>
        <v>-9.06</v>
      </c>
      <c r="C11" s="19">
        <f>'Non-Rebalanced Portfolio'!C11</f>
        <v>0</v>
      </c>
      <c r="D11" s="17"/>
      <c r="E11" s="17"/>
      <c r="F11" s="17">
        <f>'Non-Rebalanced Portfolio'!F11</f>
        <v>0</v>
      </c>
      <c r="G11" s="17"/>
      <c r="H11" s="17">
        <f>'Non-Rebalanced Portfolio'!H11</f>
        <v>11.39</v>
      </c>
      <c r="N11" s="49">
        <f>'4.5% Withdrawals-No Rebalancing'!N11</f>
        <v>2000</v>
      </c>
      <c r="O11" s="50">
        <f>'4.5% Withdrawals-No Rebalancing'!O11</f>
        <v>2.7E-2</v>
      </c>
      <c r="P11" s="44"/>
    </row>
    <row r="12" spans="1:16" x14ac:dyDescent="0.25">
      <c r="A12" s="17">
        <f>'Non-Rebalanced Portfolio'!A12</f>
        <v>2001</v>
      </c>
      <c r="B12" s="17">
        <f>'Non-Rebalanced Portfolio'!B12</f>
        <v>-12.02</v>
      </c>
      <c r="C12" s="19">
        <f>'Non-Rebalanced Portfolio'!C12</f>
        <v>0</v>
      </c>
      <c r="D12" s="17"/>
      <c r="E12" s="17"/>
      <c r="F12" s="17">
        <f>'Non-Rebalanced Portfolio'!F12</f>
        <v>0</v>
      </c>
      <c r="G12" s="17">
        <f>'Non-Rebalanced Portfolio'!G12</f>
        <v>-20.152999999999999</v>
      </c>
      <c r="H12" s="17">
        <f>'Non-Rebalanced Portfolio'!H12</f>
        <v>8.43</v>
      </c>
      <c r="N12" s="49">
        <f>'4.5% Withdrawals-No Rebalancing'!N12</f>
        <v>2001</v>
      </c>
      <c r="O12" s="50">
        <f>'4.5% Withdrawals-No Rebalancing'!O12</f>
        <v>3.4000000000000002E-2</v>
      </c>
      <c r="P12" s="44"/>
    </row>
    <row r="13" spans="1:16" x14ac:dyDescent="0.25">
      <c r="A13" s="17">
        <f>'Non-Rebalanced Portfolio'!A13</f>
        <v>2002</v>
      </c>
      <c r="B13" s="17">
        <f>'Non-Rebalanced Portfolio'!B13</f>
        <v>-22.15</v>
      </c>
      <c r="C13" s="19">
        <f>'Non-Rebalanced Portfolio'!C13</f>
        <v>0</v>
      </c>
      <c r="D13" s="17"/>
      <c r="E13" s="17"/>
      <c r="F13" s="17"/>
      <c r="G13" s="17">
        <f>'Non-Rebalanced Portfolio'!G13</f>
        <v>-15.083</v>
      </c>
      <c r="H13" s="17">
        <f>'Non-Rebalanced Portfolio'!H13</f>
        <v>8.26</v>
      </c>
      <c r="N13" s="49">
        <f>'4.5% Withdrawals-No Rebalancing'!N13</f>
        <v>2002</v>
      </c>
      <c r="O13" s="50">
        <f>'4.5% Withdrawals-No Rebalancing'!O13</f>
        <v>1.6E-2</v>
      </c>
      <c r="P13" s="44"/>
    </row>
    <row r="14" spans="1:16" x14ac:dyDescent="0.25">
      <c r="A14" s="17">
        <f>'Non-Rebalanced Portfolio'!A14</f>
        <v>2003</v>
      </c>
      <c r="B14" s="17">
        <f>'Non-Rebalanced Portfolio'!B14</f>
        <v>28.5</v>
      </c>
      <c r="C14" s="19">
        <f>'Non-Rebalanced Portfolio'!C14</f>
        <v>0</v>
      </c>
      <c r="D14" s="17">
        <f>'Non-Rebalanced Portfolio'!D14</f>
        <v>34.142000000000003</v>
      </c>
      <c r="E14" s="17">
        <f>'Non-Rebalanced Portfolio'!E14</f>
        <v>45.628</v>
      </c>
      <c r="F14" s="17"/>
      <c r="G14" s="17">
        <f>'Non-Rebalanced Portfolio'!G14</f>
        <v>40.340000000000003</v>
      </c>
      <c r="H14" s="17">
        <f>'Non-Rebalanced Portfolio'!H14</f>
        <v>3.97</v>
      </c>
      <c r="N14" s="49">
        <f>'4.5% Withdrawals-No Rebalancing'!N14</f>
        <v>2003</v>
      </c>
      <c r="O14" s="50">
        <f>'4.5% Withdrawals-No Rebalancing'!O14</f>
        <v>2.5000000000000001E-2</v>
      </c>
      <c r="P14" s="44"/>
    </row>
    <row r="15" spans="1:16"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c r="N15" s="49">
        <f>'4.5% Withdrawals-No Rebalancing'!N15</f>
        <v>2004</v>
      </c>
      <c r="O15" s="50">
        <f>'4.5% Withdrawals-No Rebalancing'!O15</f>
        <v>0.02</v>
      </c>
      <c r="P15" s="44"/>
    </row>
    <row r="16" spans="1:16"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c r="N16" s="49">
        <f>'4.5% Withdrawals-No Rebalancing'!N16</f>
        <v>2005</v>
      </c>
      <c r="O16" s="50">
        <f>'4.5% Withdrawals-No Rebalancing'!O16</f>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9">
        <f>'4.5% Withdrawals-No Rebalancing'!N17</f>
        <v>2006</v>
      </c>
      <c r="O17" s="50">
        <f>'4.5% Withdrawals-No Rebalancing'!O17</f>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9">
        <f>'4.5% Withdrawals-No Rebalancing'!N18</f>
        <v>2007</v>
      </c>
      <c r="O18" s="50">
        <f>'4.5% Withdrawals-No Rebalancing'!O18</f>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9">
        <f>'4.5% Withdrawals-No Rebalancing'!N19</f>
        <v>2008</v>
      </c>
      <c r="O19" s="50">
        <f>'4.5% Withdrawals-No Rebalancing'!O19</f>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9">
        <f>'4.5% Withdrawals-No Rebalancing'!N20</f>
        <v>2009</v>
      </c>
      <c r="O20" s="50">
        <f>'4.5% Withdrawals-No Rebalancing'!O20</f>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9">
        <f>'4.5% Withdrawals-No Rebalancing'!N21</f>
        <v>2010</v>
      </c>
      <c r="O21" s="50">
        <f>'4.5% Withdrawals-No Rebalancing'!O21</f>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9">
        <f>'4.5% Withdrawals-No Rebalancing'!N22</f>
        <v>2011</v>
      </c>
      <c r="O22" s="50">
        <f>'4.5% Withdrawals-No Rebalancing'!O22</f>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9">
        <f>'4.5% Withdrawals-No Rebalancing'!N23</f>
        <v>2012</v>
      </c>
      <c r="O23" s="50">
        <f>'4.5% Withdrawals-No Rebalancing'!O23</f>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9">
        <f>'4.5% Withdrawals-No Rebalancing'!N24</f>
        <v>2013</v>
      </c>
      <c r="O24" s="50">
        <f>'4.5% Withdrawals-No Rebalancing'!O24</f>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9">
        <f>'4.5% Withdrawals-No Rebalancing'!N25</f>
        <v>2014</v>
      </c>
      <c r="O25" s="50">
        <f>'4.5% Withdrawals-No Rebalancing'!O25</f>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9">
        <f>'4.5% Withdrawals-No Rebalancing'!N26</f>
        <v>2015</v>
      </c>
      <c r="O26" s="50">
        <f>'4.5% Withdrawals-No Rebalancing'!O26</f>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9">
        <f>'4.5% Withdrawals-No Rebalancing'!N27</f>
        <v>2016</v>
      </c>
      <c r="O27" s="50">
        <f>'4.5% Withdrawals-No Rebalancing'!O27</f>
        <v>4.4000000000000003E-3</v>
      </c>
    </row>
    <row r="28" spans="1:16" x14ac:dyDescent="0.25">
      <c r="A28" s="17">
        <f>'Non-Rebalanced Portfolio'!A28</f>
        <v>2017</v>
      </c>
      <c r="B28" s="17">
        <f>'Non-Rebalanced Portfolio'!B28</f>
        <v>21.67</v>
      </c>
      <c r="C28" s="17"/>
      <c r="D28" s="17">
        <f>'Non-Rebalanced Portfolio'!D28</f>
        <v>19.600000000000001</v>
      </c>
      <c r="E28" s="17">
        <f>'Non-Rebalanced Portfolio'!E28</f>
        <v>16.100000000000001</v>
      </c>
      <c r="F28" s="17"/>
      <c r="G28" s="17">
        <f>'Non-Rebalanced Portfolio'!G28</f>
        <v>27.4</v>
      </c>
      <c r="H28" s="17">
        <f>'Non-Rebalanced Portfolio'!H28</f>
        <v>3.46</v>
      </c>
      <c r="N28" s="49">
        <f>'4.5% Withdrawals-No Rebalancing'!N28</f>
        <v>2017</v>
      </c>
      <c r="O28" s="50">
        <f>'4.5% Withdrawals-No Rebalancing'!O28</f>
        <v>1.7000000000000001E-2</v>
      </c>
    </row>
    <row r="29" spans="1:16" x14ac:dyDescent="0.25">
      <c r="A29" s="17">
        <f>'Non-Rebalanced Portfolio'!A29</f>
        <v>2017</v>
      </c>
      <c r="B29" s="17">
        <f>'Non-Rebalanced Portfolio'!B29</f>
        <v>21.67</v>
      </c>
      <c r="C29" s="17"/>
      <c r="D29" s="17">
        <f>'Non-Rebalanced Portfolio'!D29</f>
        <v>19.600000000000001</v>
      </c>
      <c r="E29" s="17">
        <f>'Non-Rebalanced Portfolio'!E29</f>
        <v>16.100000000000001</v>
      </c>
      <c r="F29" s="17"/>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7"/>
      <c r="D30" s="17">
        <f>'Non-Rebalanced Portfolio'!D30</f>
        <v>19.600000000000001</v>
      </c>
      <c r="E30" s="17">
        <f>'Non-Rebalanced Portfolio'!E30</f>
        <v>16.100000000000001</v>
      </c>
      <c r="F30" s="17"/>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'4.5% Withdrawals-No Rebalancing'!N32</f>
        <v>2017</v>
      </c>
      <c r="O32" s="50">
        <f>'4.5% Withdrawals-No Rebalancing'!O32</f>
        <v>2.23E-2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5">
      <c r="A36" s="20" t="s">
        <v>157</v>
      </c>
      <c r="N36" s="20" t="s">
        <v>25</v>
      </c>
      <c r="R36" s="20" t="s">
        <v>176</v>
      </c>
      <c r="AG36" s="20" t="s">
        <v>159</v>
      </c>
      <c r="AS36" s="20" t="s">
        <v>7</v>
      </c>
      <c r="BC36" s="20" t="s">
        <v>156</v>
      </c>
    </row>
    <row r="37" spans="1:6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65"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65" x14ac:dyDescent="0.25">
      <c r="A39" t="s">
        <v>72</v>
      </c>
      <c r="B39" s="2">
        <v>60000</v>
      </c>
      <c r="C39" s="2">
        <v>0</v>
      </c>
      <c r="F39" s="2">
        <v>0</v>
      </c>
      <c r="H39" s="2">
        <v>40000</v>
      </c>
      <c r="I39" s="2">
        <f>SUM(B39:H39)</f>
        <v>100000</v>
      </c>
      <c r="N39" s="21"/>
      <c r="R39" t="str">
        <f>A39</f>
        <v>Stating Balance</v>
      </c>
      <c r="S39" s="2">
        <f>B39</f>
        <v>60000</v>
      </c>
      <c r="T39" s="2">
        <f t="shared" si="1"/>
        <v>0</v>
      </c>
      <c r="U39" s="2">
        <f t="shared" si="1"/>
        <v>0</v>
      </c>
      <c r="V39" s="2">
        <f t="shared" si="1"/>
        <v>0</v>
      </c>
      <c r="W39" s="2">
        <f t="shared" si="1"/>
        <v>0</v>
      </c>
      <c r="X39" s="2">
        <f t="shared" si="1"/>
        <v>0</v>
      </c>
      <c r="Y39" s="2">
        <f t="shared" si="1"/>
        <v>40000</v>
      </c>
      <c r="Z39" s="2">
        <f t="shared" si="1"/>
        <v>100000</v>
      </c>
      <c r="AD39" s="2"/>
      <c r="AE39" s="2"/>
      <c r="AG39" s="21" t="s">
        <v>87</v>
      </c>
      <c r="AH39" s="6">
        <f t="shared" ref="AH39:AI54" si="5">S39/$Z39</f>
        <v>0.6</v>
      </c>
      <c r="AI39" s="6">
        <f t="shared" si="5"/>
        <v>0</v>
      </c>
      <c r="AJ39" s="23">
        <v>0</v>
      </c>
      <c r="AK39" s="23">
        <v>0</v>
      </c>
      <c r="AL39" s="6">
        <f>W39/$Z39</f>
        <v>0</v>
      </c>
      <c r="AM39" s="23">
        <v>0</v>
      </c>
      <c r="AN39" s="6">
        <f>Y39/$Z39</f>
        <v>0.4</v>
      </c>
      <c r="AO39" s="6">
        <f>Z39/$Z39</f>
        <v>1</v>
      </c>
      <c r="AP39" s="24"/>
      <c r="AR39" s="24"/>
      <c r="AS39" s="21" t="str">
        <f>AG39</f>
        <v>Target Allocation</v>
      </c>
      <c r="AT39" s="24">
        <f t="shared" si="3"/>
        <v>0.6</v>
      </c>
      <c r="AU39" s="24">
        <f t="shared" si="3"/>
        <v>0</v>
      </c>
      <c r="AV39" s="25">
        <f t="shared" si="3"/>
        <v>0</v>
      </c>
      <c r="AW39" s="25">
        <f t="shared" si="3"/>
        <v>0</v>
      </c>
      <c r="AX39" s="24">
        <f t="shared" si="3"/>
        <v>0</v>
      </c>
      <c r="AY39" s="25">
        <f t="shared" si="3"/>
        <v>0</v>
      </c>
      <c r="AZ39" s="24">
        <f t="shared" si="3"/>
        <v>0.4</v>
      </c>
      <c r="BA39" s="24">
        <f>AO39</f>
        <v>1</v>
      </c>
      <c r="BC39" s="21" t="str">
        <f>AS39</f>
        <v>Target Allocation</v>
      </c>
      <c r="BD39" s="24">
        <f>AT39</f>
        <v>0.6</v>
      </c>
      <c r="BE39" s="24">
        <f t="shared" si="4"/>
        <v>0</v>
      </c>
      <c r="BF39" s="25">
        <f t="shared" si="4"/>
        <v>0</v>
      </c>
      <c r="BG39" s="25">
        <f t="shared" si="4"/>
        <v>0</v>
      </c>
      <c r="BH39" s="24">
        <f t="shared" si="4"/>
        <v>0</v>
      </c>
      <c r="BI39" s="25">
        <f t="shared" si="4"/>
        <v>0</v>
      </c>
      <c r="BJ39" s="24">
        <f t="shared" si="4"/>
        <v>0.4</v>
      </c>
      <c r="BK39" s="24">
        <f t="shared" si="4"/>
        <v>1</v>
      </c>
      <c r="BL39" s="2"/>
    </row>
    <row r="40" spans="1:65" x14ac:dyDescent="0.25">
      <c r="A40">
        <f t="shared" ref="A40:A64" si="6">A4</f>
        <v>1993</v>
      </c>
      <c r="B40" s="2">
        <f>B39*(1+(B4/100))</f>
        <v>65934</v>
      </c>
      <c r="C40" s="2">
        <f>C39*(1+(C4/100))</f>
        <v>0</v>
      </c>
      <c r="D40" s="2"/>
      <c r="E40" s="2"/>
      <c r="F40" s="2">
        <f>F39*(1+(F4/100))</f>
        <v>0</v>
      </c>
      <c r="G40" s="2"/>
      <c r="H40" s="2">
        <f>H39*(1+(H4/100))</f>
        <v>43872</v>
      </c>
      <c r="I40" s="2">
        <f>SUM(B40:H40)</f>
        <v>109806</v>
      </c>
      <c r="J40" s="2">
        <f>I40-I39</f>
        <v>9806</v>
      </c>
      <c r="K40" s="6">
        <f>(J40/I39)</f>
        <v>9.8059999999999994E-2</v>
      </c>
      <c r="L40" s="7">
        <f>K40+1</f>
        <v>1.09806</v>
      </c>
      <c r="N40">
        <f>A40</f>
        <v>1993</v>
      </c>
      <c r="O40" s="2">
        <f>I40*0.045</f>
        <v>4941.2699999999995</v>
      </c>
      <c r="P40" s="2">
        <f>O40*0.6</f>
        <v>2964.7619999999997</v>
      </c>
      <c r="Q40" s="2">
        <f>O40*0.4</f>
        <v>1976.5079999999998</v>
      </c>
      <c r="R40">
        <f>A40</f>
        <v>1993</v>
      </c>
      <c r="S40" s="2">
        <f>B40-(O40*0.6)</f>
        <v>62969.237999999998</v>
      </c>
      <c r="T40" s="2"/>
      <c r="U40" s="2"/>
      <c r="V40" s="2"/>
      <c r="W40" s="2"/>
      <c r="X40" s="2"/>
      <c r="Y40" s="2">
        <f>H40-(O40*0.4)</f>
        <v>41895.491999999998</v>
      </c>
      <c r="Z40" s="2">
        <f>SUM(S40:Y40)</f>
        <v>104864.73</v>
      </c>
      <c r="AA40" s="2">
        <f>Z40-Z39</f>
        <v>4864.7299999999959</v>
      </c>
      <c r="AB40" s="6">
        <f>(AA40/Z39)</f>
        <v>4.8647299999999956E-2</v>
      </c>
      <c r="AC40" s="7">
        <f>AB40+1</f>
        <v>1.0486473000000001</v>
      </c>
      <c r="AD40" s="2">
        <f>Z40-(I40-O40)</f>
        <v>0</v>
      </c>
      <c r="AE40" s="2"/>
      <c r="AG40">
        <f>A40</f>
        <v>1993</v>
      </c>
      <c r="AH40" s="6">
        <f t="shared" si="5"/>
        <v>0.60048061917481688</v>
      </c>
      <c r="AI40" s="6">
        <f t="shared" si="5"/>
        <v>0</v>
      </c>
      <c r="AJ40" s="7"/>
      <c r="AK40" s="7"/>
      <c r="AL40" s="6">
        <f>W40/$Z40</f>
        <v>0</v>
      </c>
      <c r="AM40" s="7"/>
      <c r="AN40" s="6">
        <f>Y40/$Z40</f>
        <v>0.39951938082518307</v>
      </c>
      <c r="AO40" s="6">
        <f>SUM(AH40:AN40)</f>
        <v>1</v>
      </c>
      <c r="AP40" s="7">
        <f>SUM(AH40:AM40)</f>
        <v>0.60048061917481688</v>
      </c>
      <c r="AQ40" s="7">
        <f>AO40-(AP40+AN40)</f>
        <v>0</v>
      </c>
      <c r="AR40" s="24"/>
      <c r="AS40">
        <f>AG40</f>
        <v>1993</v>
      </c>
      <c r="AT40" s="1" t="b">
        <f>AND((S40/$Z40)&gt;0.15,(S40/$Z40)&lt;0.25)</f>
        <v>0</v>
      </c>
      <c r="AU40" s="1" t="b">
        <f>AND((T40/$Z40)&gt;0.25,(T40/$Z40)&lt;0.35)</f>
        <v>0</v>
      </c>
      <c r="AX40" s="1" t="b">
        <f t="shared" ref="AX40:AX48" si="7">AND((W40/$Z40)&gt;0.15,(W40/$Z40)&lt;0.25)</f>
        <v>0</v>
      </c>
      <c r="AZ40" s="1" t="b">
        <f>AND((Y40/$Z40)&gt;0.25,(Y40/$Z40)&lt;0.35)</f>
        <v>0</v>
      </c>
      <c r="BA40" s="1" t="b">
        <f>AND((Z40/$Z40)&gt;0.999,(Z40/$Z40)&lt;1.01)</f>
        <v>1</v>
      </c>
      <c r="BC40">
        <f>AS40</f>
        <v>1993</v>
      </c>
      <c r="BD40" s="2">
        <f t="shared" ref="BD40:BE50" si="8">$BK40*BD$39</f>
        <v>62918.837999999996</v>
      </c>
      <c r="BE40" s="2">
        <f t="shared" si="8"/>
        <v>0</v>
      </c>
      <c r="BF40" s="2"/>
      <c r="BG40" s="2"/>
      <c r="BH40" s="2">
        <f t="shared" ref="BH40:BH48" si="9">$BK40*BH$39</f>
        <v>0</v>
      </c>
      <c r="BI40" s="2"/>
      <c r="BJ40" s="2">
        <f t="shared" ref="BJ40:BJ64" si="10">$BK40*BJ$39</f>
        <v>41945.892</v>
      </c>
      <c r="BK40" s="2">
        <f>Z40</f>
        <v>104864.73</v>
      </c>
      <c r="BL40" s="2">
        <f>SUM(BD40:BJ40)-Z40</f>
        <v>0</v>
      </c>
      <c r="BM40" s="2"/>
    </row>
    <row r="41" spans="1:65" x14ac:dyDescent="0.25">
      <c r="A41">
        <f t="shared" si="6"/>
        <v>1994</v>
      </c>
      <c r="B41" s="2">
        <f t="shared" ref="B41:C56" si="11">BD40*(1+(B5/100))</f>
        <v>63661.280288399998</v>
      </c>
      <c r="C41" s="2">
        <f t="shared" si="11"/>
        <v>0</v>
      </c>
      <c r="D41" s="2"/>
      <c r="E41" s="2"/>
      <c r="F41" s="2">
        <f t="shared" ref="F41:F48" si="12">BH40*(1+(F5/100))</f>
        <v>0</v>
      </c>
      <c r="G41" s="2"/>
      <c r="H41" s="2">
        <f t="shared" ref="H41:H64" si="13">BJ40*(1+(H5/100))</f>
        <v>40830.131272800005</v>
      </c>
      <c r="I41" s="2">
        <f>SUM(B41:H41)</f>
        <v>104491.4115612</v>
      </c>
      <c r="J41" s="2">
        <f t="shared" ref="J41:J64" si="14">I41-I40</f>
        <v>-5314.5884387999977</v>
      </c>
      <c r="K41" s="6">
        <f t="shared" ref="K41:K64" si="15">(J41/I40)</f>
        <v>-4.8399799999999979E-2</v>
      </c>
      <c r="L41" s="7">
        <f t="shared" ref="L41:L64" si="16">K41+1</f>
        <v>0.95160020000000001</v>
      </c>
      <c r="N41">
        <f t="shared" ref="N41:N64" si="17">A41</f>
        <v>1994</v>
      </c>
      <c r="O41" s="2">
        <f t="shared" ref="O41:O64" si="18">O40*(1+O5)</f>
        <v>5079.6255599999995</v>
      </c>
      <c r="P41" s="2"/>
      <c r="Q41" s="2">
        <f>Q40+P40</f>
        <v>4941.2699999999995</v>
      </c>
      <c r="R41">
        <f t="shared" ref="R41:R64" si="19">A41</f>
        <v>1994</v>
      </c>
      <c r="S41" s="2">
        <f t="shared" ref="S41:S64" si="20">B41-(O41*0.6)</f>
        <v>60613.504952399999</v>
      </c>
      <c r="T41" s="2"/>
      <c r="U41" s="2"/>
      <c r="V41" s="2"/>
      <c r="W41" s="2"/>
      <c r="X41" s="2"/>
      <c r="Y41" s="2">
        <f t="shared" ref="Y41:Y64" si="21">H41-(O41*0.4)</f>
        <v>38798.281048800003</v>
      </c>
      <c r="Z41" s="2">
        <f t="shared" ref="Z41:Z64" si="22">SUM(S41:Y41)</f>
        <v>99411.786001200002</v>
      </c>
      <c r="AA41" s="2">
        <f t="shared" ref="AA41:AA55" si="23">Z41-Z40</f>
        <v>-5452.943998799994</v>
      </c>
      <c r="AB41" s="6">
        <f t="shared" ref="AB41:AB55" si="24">(AA41/Z40)</f>
        <v>-5.1999790575916173E-2</v>
      </c>
      <c r="AC41" s="7">
        <f t="shared" ref="AC41:AC64" si="25">AB41+1</f>
        <v>0.94800020942408381</v>
      </c>
      <c r="AD41" s="2">
        <f t="shared" ref="AD41:AD64" si="26">Z41-(I41-O41)</f>
        <v>0</v>
      </c>
      <c r="AE41" s="2"/>
      <c r="AG41">
        <f t="shared" ref="AG41:AG64" si="27">A41</f>
        <v>1994</v>
      </c>
      <c r="AH41" s="6">
        <f t="shared" si="5"/>
        <v>0.60972151683974707</v>
      </c>
      <c r="AI41" s="6">
        <f t="shared" si="5"/>
        <v>0</v>
      </c>
      <c r="AJ41" s="7"/>
      <c r="AK41" s="7"/>
      <c r="AL41" s="6">
        <f t="shared" ref="AL41:AM56" si="28">W41/$Z41</f>
        <v>0</v>
      </c>
      <c r="AM41" s="7"/>
      <c r="AN41" s="6">
        <f t="shared" ref="AN41:AN64" si="29">Y41/$Z41</f>
        <v>0.39027848316025293</v>
      </c>
      <c r="AO41" s="6">
        <f t="shared" ref="AO41:AO64" si="30">SUM(AH41:AN41)</f>
        <v>1</v>
      </c>
      <c r="AP41" s="7">
        <f t="shared" ref="AP41:AP64" si="31">SUM(AH41:AM41)</f>
        <v>0.60972151683974707</v>
      </c>
      <c r="AQ41" s="7">
        <f t="shared" ref="AQ41:AQ64" si="32">AO41-(AP41+AN41)</f>
        <v>0</v>
      </c>
      <c r="AR41" s="24"/>
      <c r="AS41">
        <f t="shared" ref="AS41:AS64" si="33">AG41</f>
        <v>1994</v>
      </c>
      <c r="AT41" s="1" t="b">
        <f t="shared" ref="AT41:AT64" si="34">AND((S41/$Z41)&gt;0.15,(S41/$Z41)&lt;0.25)</f>
        <v>0</v>
      </c>
      <c r="AU41" s="1" t="b">
        <f t="shared" ref="AU41:AU50" si="35">AND((T41/$Z41)&gt;0.25,(T41/$Z41)&lt;0.35)</f>
        <v>0</v>
      </c>
      <c r="AX41" s="1" t="b">
        <f t="shared" si="7"/>
        <v>0</v>
      </c>
      <c r="AZ41" s="1" t="b">
        <f t="shared" ref="AZ41:AZ64" si="36">AND((Y41/$Z41)&gt;0.25,(Y41/$Z41)&lt;0.35)</f>
        <v>0</v>
      </c>
      <c r="BA41" s="1" t="b">
        <f t="shared" ref="BA41:BA64" si="37">AND((Z41/$Z41)&gt;0.999,(Z41/$Z41)&lt;1.01)</f>
        <v>1</v>
      </c>
      <c r="BC41">
        <f t="shared" ref="BC41:BC64" si="38">AS41</f>
        <v>1994</v>
      </c>
      <c r="BD41" s="2">
        <f t="shared" si="8"/>
        <v>59647.071600719995</v>
      </c>
      <c r="BE41" s="2">
        <f t="shared" si="8"/>
        <v>0</v>
      </c>
      <c r="BF41" s="2"/>
      <c r="BG41" s="2"/>
      <c r="BH41" s="2">
        <f t="shared" si="9"/>
        <v>0</v>
      </c>
      <c r="BI41" s="2"/>
      <c r="BJ41" s="2">
        <f t="shared" si="10"/>
        <v>39764.714400480007</v>
      </c>
      <c r="BK41" s="2">
        <f t="shared" ref="BK41:BK64" si="39">Z41</f>
        <v>99411.786001200002</v>
      </c>
      <c r="BL41" s="2">
        <f t="shared" ref="BL41:BL64" si="40">SUM(BD41:BJ41)-Z41</f>
        <v>0</v>
      </c>
      <c r="BM41" s="2"/>
    </row>
    <row r="42" spans="1:65" x14ac:dyDescent="0.25">
      <c r="A42">
        <f t="shared" si="6"/>
        <v>1995</v>
      </c>
      <c r="B42" s="2">
        <f t="shared" si="11"/>
        <v>81984.899915189642</v>
      </c>
      <c r="C42" s="2">
        <f t="shared" si="11"/>
        <v>0</v>
      </c>
      <c r="D42" s="2"/>
      <c r="E42" s="2"/>
      <c r="F42" s="2">
        <f t="shared" si="12"/>
        <v>0</v>
      </c>
      <c r="G42" s="2"/>
      <c r="H42" s="2">
        <f t="shared" si="13"/>
        <v>46993.939478487271</v>
      </c>
      <c r="I42" s="2">
        <f t="shared" ref="I42:I64" si="41">SUM(B42:H42)</f>
        <v>128978.83939367691</v>
      </c>
      <c r="J42" s="2">
        <f t="shared" si="14"/>
        <v>24487.427832476911</v>
      </c>
      <c r="K42" s="6">
        <f t="shared" si="15"/>
        <v>0.23434871312973668</v>
      </c>
      <c r="L42" s="7">
        <f t="shared" si="16"/>
        <v>1.2343487131297366</v>
      </c>
      <c r="N42">
        <f t="shared" si="17"/>
        <v>1995</v>
      </c>
      <c r="O42" s="2">
        <f t="shared" si="18"/>
        <v>5211.6958245599999</v>
      </c>
      <c r="P42" s="2"/>
      <c r="Q42" s="2"/>
      <c r="R42">
        <f t="shared" si="19"/>
        <v>1995</v>
      </c>
      <c r="S42" s="2">
        <f t="shared" si="20"/>
        <v>78857.882420453636</v>
      </c>
      <c r="T42" s="2"/>
      <c r="U42" s="2"/>
      <c r="V42" s="2"/>
      <c r="W42" s="2"/>
      <c r="X42" s="2"/>
      <c r="Y42" s="2">
        <f t="shared" si="21"/>
        <v>44909.261148663274</v>
      </c>
      <c r="Z42" s="2">
        <f t="shared" si="22"/>
        <v>123767.14356911692</v>
      </c>
      <c r="AA42" s="2">
        <f t="shared" si="23"/>
        <v>24355.357567916915</v>
      </c>
      <c r="AB42" s="6">
        <f t="shared" si="24"/>
        <v>0.2449946686162838</v>
      </c>
      <c r="AC42" s="7">
        <f t="shared" si="25"/>
        <v>1.2449946686162838</v>
      </c>
      <c r="AD42" s="2">
        <f t="shared" si="26"/>
        <v>0</v>
      </c>
      <c r="AE42" s="2"/>
      <c r="AG42">
        <f t="shared" si="27"/>
        <v>1995</v>
      </c>
      <c r="AH42" s="6">
        <f t="shared" si="5"/>
        <v>0.63714714702465436</v>
      </c>
      <c r="AI42" s="6">
        <f t="shared" si="5"/>
        <v>0</v>
      </c>
      <c r="AJ42" s="7"/>
      <c r="AK42" s="7"/>
      <c r="AL42" s="6">
        <f t="shared" si="28"/>
        <v>0</v>
      </c>
      <c r="AM42" s="7"/>
      <c r="AN42" s="6">
        <f t="shared" si="29"/>
        <v>0.36285285297534564</v>
      </c>
      <c r="AO42" s="6">
        <f t="shared" si="30"/>
        <v>1</v>
      </c>
      <c r="AP42" s="7">
        <f t="shared" si="31"/>
        <v>0.63714714702465436</v>
      </c>
      <c r="AQ42" s="7">
        <f t="shared" si="32"/>
        <v>0</v>
      </c>
      <c r="AR42" s="24"/>
      <c r="AS42">
        <f t="shared" si="33"/>
        <v>1995</v>
      </c>
      <c r="AT42" s="1" t="b">
        <f t="shared" si="34"/>
        <v>0</v>
      </c>
      <c r="AU42" s="1" t="b">
        <f t="shared" si="35"/>
        <v>0</v>
      </c>
      <c r="AX42" s="1" t="b">
        <f t="shared" si="7"/>
        <v>0</v>
      </c>
      <c r="AZ42" s="1" t="b">
        <f t="shared" si="36"/>
        <v>0</v>
      </c>
      <c r="BA42" s="1" t="b">
        <f t="shared" si="37"/>
        <v>1</v>
      </c>
      <c r="BC42">
        <f t="shared" si="38"/>
        <v>1995</v>
      </c>
      <c r="BD42" s="2">
        <f t="shared" si="8"/>
        <v>74260.286141470147</v>
      </c>
      <c r="BE42" s="2">
        <f t="shared" si="8"/>
        <v>0</v>
      </c>
      <c r="BF42" s="2"/>
      <c r="BG42" s="2"/>
      <c r="BH42" s="2">
        <f t="shared" si="9"/>
        <v>0</v>
      </c>
      <c r="BI42" s="2"/>
      <c r="BJ42" s="2">
        <f t="shared" si="10"/>
        <v>49506.85742764677</v>
      </c>
      <c r="BK42" s="2">
        <f t="shared" si="39"/>
        <v>123767.14356911692</v>
      </c>
      <c r="BL42" s="2">
        <f t="shared" si="40"/>
        <v>0</v>
      </c>
      <c r="BM42" s="2"/>
    </row>
    <row r="43" spans="1:65" x14ac:dyDescent="0.25">
      <c r="A43">
        <f t="shared" si="6"/>
        <v>1996</v>
      </c>
      <c r="B43" s="2">
        <f t="shared" si="11"/>
        <v>91251.039610638531</v>
      </c>
      <c r="C43" s="2">
        <f t="shared" si="11"/>
        <v>0</v>
      </c>
      <c r="D43" s="2"/>
      <c r="E43" s="2"/>
      <c r="F43" s="2">
        <f t="shared" si="12"/>
        <v>0</v>
      </c>
      <c r="G43" s="2"/>
      <c r="H43" s="2">
        <f t="shared" si="13"/>
        <v>51279.202923556528</v>
      </c>
      <c r="I43" s="2">
        <f t="shared" si="41"/>
        <v>142530.24253419507</v>
      </c>
      <c r="J43" s="2">
        <f t="shared" si="14"/>
        <v>13551.403140518159</v>
      </c>
      <c r="K43" s="6">
        <f t="shared" si="15"/>
        <v>0.10506687146684393</v>
      </c>
      <c r="L43" s="7">
        <f t="shared" si="16"/>
        <v>1.1050668714668439</v>
      </c>
      <c r="N43">
        <f t="shared" si="17"/>
        <v>1996</v>
      </c>
      <c r="O43" s="2">
        <f t="shared" si="18"/>
        <v>5341.9882201739993</v>
      </c>
      <c r="P43" s="2"/>
      <c r="Q43" s="2"/>
      <c r="R43">
        <f t="shared" si="19"/>
        <v>1996</v>
      </c>
      <c r="S43" s="2">
        <f t="shared" si="20"/>
        <v>88045.84667853413</v>
      </c>
      <c r="T43" s="2"/>
      <c r="U43" s="2"/>
      <c r="V43" s="2"/>
      <c r="W43" s="2"/>
      <c r="X43" s="2"/>
      <c r="Y43" s="2">
        <f t="shared" si="21"/>
        <v>49142.407635486925</v>
      </c>
      <c r="Z43" s="2">
        <f t="shared" si="22"/>
        <v>137188.25431402106</v>
      </c>
      <c r="AA43" s="2">
        <f t="shared" si="23"/>
        <v>13421.110744904145</v>
      </c>
      <c r="AB43" s="6">
        <f t="shared" si="24"/>
        <v>0.10843839776757243</v>
      </c>
      <c r="AC43" s="7">
        <f t="shared" si="25"/>
        <v>1.1084383977675725</v>
      </c>
      <c r="AD43" s="2">
        <f t="shared" si="26"/>
        <v>0</v>
      </c>
      <c r="AE43" s="2"/>
      <c r="AG43">
        <f t="shared" si="27"/>
        <v>1996</v>
      </c>
      <c r="AH43" s="6">
        <f t="shared" si="5"/>
        <v>0.64178851986117569</v>
      </c>
      <c r="AI43" s="6">
        <f t="shared" si="5"/>
        <v>0</v>
      </c>
      <c r="AJ43" s="7"/>
      <c r="AK43" s="7"/>
      <c r="AL43" s="6">
        <f t="shared" si="28"/>
        <v>0</v>
      </c>
      <c r="AM43" s="7"/>
      <c r="AN43" s="6">
        <f t="shared" si="29"/>
        <v>0.35821148013882426</v>
      </c>
      <c r="AO43" s="6">
        <f t="shared" si="30"/>
        <v>1</v>
      </c>
      <c r="AP43" s="7">
        <f t="shared" si="31"/>
        <v>0.64178851986117569</v>
      </c>
      <c r="AQ43" s="7">
        <f t="shared" si="32"/>
        <v>0</v>
      </c>
      <c r="AR43" s="24"/>
      <c r="AS43">
        <f t="shared" si="33"/>
        <v>1996</v>
      </c>
      <c r="AT43" s="1" t="b">
        <f t="shared" si="34"/>
        <v>0</v>
      </c>
      <c r="AU43" s="1" t="b">
        <f t="shared" si="35"/>
        <v>0</v>
      </c>
      <c r="AX43" s="1" t="b">
        <f t="shared" si="7"/>
        <v>0</v>
      </c>
      <c r="AZ43" s="1" t="b">
        <f t="shared" si="36"/>
        <v>0</v>
      </c>
      <c r="BA43" s="1" t="b">
        <f t="shared" si="37"/>
        <v>1</v>
      </c>
      <c r="BC43">
        <f t="shared" si="38"/>
        <v>1996</v>
      </c>
      <c r="BD43" s="2">
        <f t="shared" si="8"/>
        <v>82312.952588412634</v>
      </c>
      <c r="BE43" s="2">
        <f t="shared" si="8"/>
        <v>0</v>
      </c>
      <c r="BF43" s="2"/>
      <c r="BG43" s="2"/>
      <c r="BH43" s="2">
        <f t="shared" si="9"/>
        <v>0</v>
      </c>
      <c r="BI43" s="2"/>
      <c r="BJ43" s="2">
        <f t="shared" si="10"/>
        <v>54875.301725608428</v>
      </c>
      <c r="BK43" s="2">
        <f t="shared" si="39"/>
        <v>137188.25431402106</v>
      </c>
      <c r="BL43" s="2">
        <f t="shared" si="40"/>
        <v>0</v>
      </c>
      <c r="BM43" s="2"/>
    </row>
    <row r="44" spans="1:65" x14ac:dyDescent="0.25">
      <c r="A44">
        <f t="shared" si="6"/>
        <v>1997</v>
      </c>
      <c r="B44" s="2">
        <f t="shared" si="11"/>
        <v>109632.6215525068</v>
      </c>
      <c r="C44" s="2">
        <f t="shared" si="11"/>
        <v>0</v>
      </c>
      <c r="D44" s="2"/>
      <c r="E44" s="2"/>
      <c r="F44" s="2">
        <f t="shared" si="12"/>
        <v>0</v>
      </c>
      <c r="G44" s="2"/>
      <c r="H44" s="2">
        <f t="shared" si="13"/>
        <v>60055.530208505865</v>
      </c>
      <c r="I44" s="2">
        <f t="shared" si="41"/>
        <v>169688.15176101268</v>
      </c>
      <c r="J44" s="2">
        <f t="shared" si="14"/>
        <v>27157.909226817603</v>
      </c>
      <c r="K44" s="6">
        <f t="shared" si="15"/>
        <v>0.19054138086029024</v>
      </c>
      <c r="L44" s="7">
        <f t="shared" si="16"/>
        <v>1.1905413808602903</v>
      </c>
      <c r="N44">
        <f t="shared" si="17"/>
        <v>1997</v>
      </c>
      <c r="O44" s="2">
        <f t="shared" si="18"/>
        <v>5523.6158196599154</v>
      </c>
      <c r="P44" s="2"/>
      <c r="Q44" s="2"/>
      <c r="R44">
        <f t="shared" si="19"/>
        <v>1997</v>
      </c>
      <c r="S44" s="2">
        <f t="shared" si="20"/>
        <v>106318.45206071084</v>
      </c>
      <c r="T44" s="2"/>
      <c r="U44" s="2"/>
      <c r="V44" s="2"/>
      <c r="W44" s="2"/>
      <c r="X44" s="2"/>
      <c r="Y44" s="2">
        <f t="shared" si="21"/>
        <v>57846.083880641898</v>
      </c>
      <c r="Z44" s="2">
        <f t="shared" si="22"/>
        <v>164164.53594135275</v>
      </c>
      <c r="AA44" s="2">
        <f t="shared" si="23"/>
        <v>26976.281627331686</v>
      </c>
      <c r="AB44" s="6">
        <f t="shared" si="24"/>
        <v>0.19663696256082927</v>
      </c>
      <c r="AC44" s="7">
        <f t="shared" si="25"/>
        <v>1.1966369625608293</v>
      </c>
      <c r="AD44" s="2">
        <f t="shared" si="26"/>
        <v>0</v>
      </c>
      <c r="AE44" s="2"/>
      <c r="AG44">
        <f t="shared" si="27"/>
        <v>1997</v>
      </c>
      <c r="AH44" s="6">
        <f t="shared" si="5"/>
        <v>0.64763349435405937</v>
      </c>
      <c r="AI44" s="38">
        <f t="shared" si="5"/>
        <v>0</v>
      </c>
      <c r="AJ44" s="7"/>
      <c r="AK44" s="7"/>
      <c r="AL44" s="38">
        <f t="shared" si="28"/>
        <v>0</v>
      </c>
      <c r="AM44" s="7"/>
      <c r="AN44" s="6">
        <f t="shared" si="29"/>
        <v>0.35236650564594063</v>
      </c>
      <c r="AO44" s="6">
        <f t="shared" si="30"/>
        <v>1</v>
      </c>
      <c r="AP44" s="7">
        <f t="shared" si="31"/>
        <v>0.64763349435405937</v>
      </c>
      <c r="AQ44" s="7">
        <f t="shared" si="32"/>
        <v>0</v>
      </c>
      <c r="AR44" s="24"/>
      <c r="AS44">
        <f t="shared" si="33"/>
        <v>1997</v>
      </c>
      <c r="AT44" s="1" t="b">
        <f t="shared" si="34"/>
        <v>0</v>
      </c>
      <c r="AU44" s="1" t="b">
        <f t="shared" si="35"/>
        <v>0</v>
      </c>
      <c r="AV44" s="1"/>
      <c r="AW44" s="1"/>
      <c r="AX44" s="1" t="b">
        <f t="shared" si="7"/>
        <v>0</v>
      </c>
      <c r="AY44" s="1"/>
      <c r="AZ44" s="1" t="b">
        <f t="shared" si="36"/>
        <v>0</v>
      </c>
      <c r="BA44" s="1" t="b">
        <f t="shared" si="37"/>
        <v>1</v>
      </c>
      <c r="BC44">
        <f t="shared" si="38"/>
        <v>1997</v>
      </c>
      <c r="BD44" s="2">
        <f t="shared" si="8"/>
        <v>98498.72156481164</v>
      </c>
      <c r="BE44" s="2">
        <f t="shared" si="8"/>
        <v>0</v>
      </c>
      <c r="BF44" s="2"/>
      <c r="BG44" s="2"/>
      <c r="BH44" s="2">
        <f t="shared" si="9"/>
        <v>0</v>
      </c>
      <c r="BI44" s="2"/>
      <c r="BJ44" s="2">
        <f t="shared" si="10"/>
        <v>65665.814376541108</v>
      </c>
      <c r="BK44" s="2">
        <f t="shared" si="39"/>
        <v>164164.53594135275</v>
      </c>
      <c r="BL44" s="2">
        <f t="shared" si="40"/>
        <v>0</v>
      </c>
      <c r="BM44" s="2"/>
    </row>
    <row r="45" spans="1:65" x14ac:dyDescent="0.25">
      <c r="A45">
        <f t="shared" si="6"/>
        <v>1998</v>
      </c>
      <c r="B45" s="2">
        <f t="shared" si="11"/>
        <v>126728.45516528665</v>
      </c>
      <c r="C45" s="2">
        <f t="shared" si="11"/>
        <v>0</v>
      </c>
      <c r="D45" s="2"/>
      <c r="E45" s="2"/>
      <c r="F45" s="2">
        <f t="shared" si="12"/>
        <v>0</v>
      </c>
      <c r="G45" s="2"/>
      <c r="H45" s="2">
        <f t="shared" si="13"/>
        <v>71299.941250048345</v>
      </c>
      <c r="I45" s="2">
        <f t="shared" si="41"/>
        <v>198028.39641533501</v>
      </c>
      <c r="J45" s="2">
        <f t="shared" si="14"/>
        <v>28340.244654322334</v>
      </c>
      <c r="K45" s="6">
        <f t="shared" si="15"/>
        <v>0.16701369164675969</v>
      </c>
      <c r="L45" s="7">
        <f t="shared" si="16"/>
        <v>1.1670136916467597</v>
      </c>
      <c r="N45">
        <f t="shared" si="17"/>
        <v>1998</v>
      </c>
      <c r="O45" s="2">
        <f t="shared" si="18"/>
        <v>5617.5172885941338</v>
      </c>
      <c r="P45" s="2"/>
      <c r="Q45" s="2"/>
      <c r="R45">
        <f t="shared" si="19"/>
        <v>1998</v>
      </c>
      <c r="S45" s="2">
        <f t="shared" si="20"/>
        <v>123357.94479213018</v>
      </c>
      <c r="T45" s="2"/>
      <c r="U45" s="2"/>
      <c r="V45" s="2"/>
      <c r="W45" s="2"/>
      <c r="X45" s="2"/>
      <c r="Y45" s="2">
        <f t="shared" si="21"/>
        <v>69052.934334610691</v>
      </c>
      <c r="Z45" s="2">
        <f t="shared" si="22"/>
        <v>192410.87912674085</v>
      </c>
      <c r="AA45" s="2">
        <f t="shared" si="23"/>
        <v>28246.343185388105</v>
      </c>
      <c r="AB45" s="6">
        <f t="shared" si="24"/>
        <v>0.17206117644969934</v>
      </c>
      <c r="AC45" s="7">
        <f t="shared" si="25"/>
        <v>1.1720611764496993</v>
      </c>
      <c r="AD45" s="2">
        <f t="shared" si="26"/>
        <v>0</v>
      </c>
      <c r="AE45" s="2"/>
      <c r="AG45">
        <f t="shared" si="27"/>
        <v>1998</v>
      </c>
      <c r="AH45" s="6">
        <f t="shared" si="5"/>
        <v>0.64111730766987673</v>
      </c>
      <c r="AI45" s="6">
        <f t="shared" si="5"/>
        <v>0</v>
      </c>
      <c r="AJ45" s="7"/>
      <c r="AK45" s="7"/>
      <c r="AL45" s="6">
        <f t="shared" si="28"/>
        <v>0</v>
      </c>
      <c r="AM45" s="7"/>
      <c r="AN45" s="6">
        <f t="shared" si="29"/>
        <v>0.35888269233012338</v>
      </c>
      <c r="AO45" s="6">
        <f t="shared" si="30"/>
        <v>1</v>
      </c>
      <c r="AP45" s="7">
        <f t="shared" si="31"/>
        <v>0.64111730766987673</v>
      </c>
      <c r="AQ45" s="7">
        <f t="shared" si="32"/>
        <v>0</v>
      </c>
      <c r="AR45" s="24"/>
      <c r="AS45">
        <f t="shared" si="33"/>
        <v>1998</v>
      </c>
      <c r="AT45" s="1" t="b">
        <f t="shared" si="34"/>
        <v>0</v>
      </c>
      <c r="AU45" s="1" t="b">
        <f t="shared" si="35"/>
        <v>0</v>
      </c>
      <c r="AV45" s="1"/>
      <c r="AW45" s="1"/>
      <c r="AX45" s="1" t="b">
        <f t="shared" si="7"/>
        <v>0</v>
      </c>
      <c r="AY45" s="1"/>
      <c r="AZ45" s="1" t="b">
        <f t="shared" si="36"/>
        <v>0</v>
      </c>
      <c r="BA45" s="1" t="b">
        <f t="shared" si="37"/>
        <v>1</v>
      </c>
      <c r="BC45">
        <f t="shared" si="38"/>
        <v>1998</v>
      </c>
      <c r="BD45" s="2">
        <f t="shared" si="8"/>
        <v>115446.5274760445</v>
      </c>
      <c r="BE45" s="2">
        <f t="shared" si="8"/>
        <v>0</v>
      </c>
      <c r="BF45" s="2"/>
      <c r="BG45" s="2"/>
      <c r="BH45" s="2">
        <f t="shared" si="9"/>
        <v>0</v>
      </c>
      <c r="BI45" s="2"/>
      <c r="BJ45" s="2">
        <f t="shared" si="10"/>
        <v>76964.35165069635</v>
      </c>
      <c r="BK45" s="2">
        <f t="shared" si="39"/>
        <v>192410.87912674085</v>
      </c>
      <c r="BL45" s="2">
        <f t="shared" si="40"/>
        <v>0</v>
      </c>
      <c r="BM45" s="2"/>
    </row>
    <row r="46" spans="1:65" x14ac:dyDescent="0.25">
      <c r="A46">
        <f t="shared" si="6"/>
        <v>1999</v>
      </c>
      <c r="B46" s="2">
        <f t="shared" si="11"/>
        <v>139771.11081524708</v>
      </c>
      <c r="C46" s="2">
        <f t="shared" si="11"/>
        <v>0</v>
      </c>
      <c r="D46" s="2"/>
      <c r="E46" s="2"/>
      <c r="F46" s="2">
        <f t="shared" si="12"/>
        <v>0</v>
      </c>
      <c r="G46" s="2"/>
      <c r="H46" s="2">
        <f t="shared" si="13"/>
        <v>76379.422578151047</v>
      </c>
      <c r="I46" s="2">
        <f t="shared" si="41"/>
        <v>216150.53339339813</v>
      </c>
      <c r="J46" s="2">
        <f t="shared" si="14"/>
        <v>18122.136978063121</v>
      </c>
      <c r="K46" s="6">
        <f t="shared" si="15"/>
        <v>9.1512819909194451E-2</v>
      </c>
      <c r="L46" s="7">
        <f t="shared" si="16"/>
        <v>1.0915128199091944</v>
      </c>
      <c r="N46">
        <f t="shared" si="17"/>
        <v>1999</v>
      </c>
      <c r="O46" s="2">
        <f t="shared" si="18"/>
        <v>5707.3975652116396</v>
      </c>
      <c r="P46" s="2"/>
      <c r="Q46" s="2"/>
      <c r="R46">
        <f t="shared" si="19"/>
        <v>1999</v>
      </c>
      <c r="S46" s="2">
        <f t="shared" si="20"/>
        <v>136346.67227612011</v>
      </c>
      <c r="T46" s="2"/>
      <c r="U46" s="2"/>
      <c r="V46" s="2"/>
      <c r="W46" s="2"/>
      <c r="X46" s="2"/>
      <c r="Y46" s="2">
        <f t="shared" si="21"/>
        <v>74096.463552066387</v>
      </c>
      <c r="Z46" s="2">
        <f t="shared" si="22"/>
        <v>210443.1358281865</v>
      </c>
      <c r="AA46" s="2">
        <f t="shared" si="23"/>
        <v>18032.256701445644</v>
      </c>
      <c r="AB46" s="6">
        <f t="shared" si="24"/>
        <v>9.3717448739308623E-2</v>
      </c>
      <c r="AC46" s="7">
        <f t="shared" si="25"/>
        <v>1.0937174487393087</v>
      </c>
      <c r="AD46" s="2">
        <f t="shared" si="26"/>
        <v>0</v>
      </c>
      <c r="AE46" s="2"/>
      <c r="AG46">
        <f t="shared" si="27"/>
        <v>1999</v>
      </c>
      <c r="AH46" s="6">
        <f t="shared" si="5"/>
        <v>0.64790268278191088</v>
      </c>
      <c r="AI46" s="6">
        <f t="shared" si="5"/>
        <v>0</v>
      </c>
      <c r="AJ46" s="7"/>
      <c r="AK46" s="7"/>
      <c r="AL46" s="6">
        <f t="shared" si="28"/>
        <v>0</v>
      </c>
      <c r="AM46" s="7"/>
      <c r="AN46" s="6">
        <f t="shared" si="29"/>
        <v>0.35209731721808907</v>
      </c>
      <c r="AO46" s="6">
        <f t="shared" si="30"/>
        <v>1</v>
      </c>
      <c r="AP46" s="7">
        <f t="shared" si="31"/>
        <v>0.64790268278191088</v>
      </c>
      <c r="AQ46" s="7">
        <f t="shared" si="32"/>
        <v>0</v>
      </c>
      <c r="AR46" s="24"/>
      <c r="AS46">
        <f t="shared" si="33"/>
        <v>1999</v>
      </c>
      <c r="AT46" s="1" t="b">
        <f t="shared" si="34"/>
        <v>0</v>
      </c>
      <c r="AU46" s="1" t="b">
        <f t="shared" si="35"/>
        <v>0</v>
      </c>
      <c r="AV46" s="1"/>
      <c r="AW46" s="1"/>
      <c r="AX46" s="1" t="b">
        <f t="shared" si="7"/>
        <v>0</v>
      </c>
      <c r="AY46" s="1"/>
      <c r="AZ46" s="1" t="b">
        <f t="shared" si="36"/>
        <v>0</v>
      </c>
      <c r="BA46" s="1" t="b">
        <f t="shared" si="37"/>
        <v>1</v>
      </c>
      <c r="BC46">
        <f t="shared" si="38"/>
        <v>1999</v>
      </c>
      <c r="BD46" s="2">
        <f t="shared" si="8"/>
        <v>126265.8814969119</v>
      </c>
      <c r="BE46" s="2">
        <f t="shared" si="8"/>
        <v>0</v>
      </c>
      <c r="BF46" s="2"/>
      <c r="BG46" s="2"/>
      <c r="BH46" s="2">
        <f t="shared" si="9"/>
        <v>0</v>
      </c>
      <c r="BI46" s="2"/>
      <c r="BJ46" s="2">
        <f t="shared" si="10"/>
        <v>84177.254331274598</v>
      </c>
      <c r="BK46" s="2">
        <f t="shared" si="39"/>
        <v>210443.1358281865</v>
      </c>
      <c r="BL46" s="2">
        <f t="shared" si="40"/>
        <v>0</v>
      </c>
      <c r="BM46" s="2"/>
    </row>
    <row r="47" spans="1:65" x14ac:dyDescent="0.25">
      <c r="A47">
        <f t="shared" si="6"/>
        <v>2000</v>
      </c>
      <c r="B47" s="2">
        <f t="shared" si="11"/>
        <v>114826.19263329168</v>
      </c>
      <c r="C47" s="2">
        <f t="shared" si="11"/>
        <v>0</v>
      </c>
      <c r="D47" s="2"/>
      <c r="E47" s="2"/>
      <c r="F47" s="2">
        <f t="shared" si="12"/>
        <v>0</v>
      </c>
      <c r="G47" s="2"/>
      <c r="H47" s="2">
        <f t="shared" si="13"/>
        <v>93765.043599606783</v>
      </c>
      <c r="I47" s="2">
        <f t="shared" si="41"/>
        <v>208591.23623289846</v>
      </c>
      <c r="J47" s="2">
        <f t="shared" si="14"/>
        <v>-7559.297160499671</v>
      </c>
      <c r="K47" s="6">
        <f t="shared" si="15"/>
        <v>-3.4972373381756149E-2</v>
      </c>
      <c r="L47" s="7">
        <f t="shared" si="16"/>
        <v>0.96502762661824382</v>
      </c>
      <c r="N47">
        <f t="shared" si="17"/>
        <v>2000</v>
      </c>
      <c r="O47" s="2">
        <f t="shared" si="18"/>
        <v>5861.497299472353</v>
      </c>
      <c r="P47" s="2"/>
      <c r="Q47" s="2"/>
      <c r="R47">
        <f t="shared" si="19"/>
        <v>2000</v>
      </c>
      <c r="S47" s="2">
        <f t="shared" si="20"/>
        <v>111309.29425360827</v>
      </c>
      <c r="T47" s="2"/>
      <c r="U47" s="2"/>
      <c r="V47" s="2"/>
      <c r="W47" s="2"/>
      <c r="X47" s="2"/>
      <c r="Y47" s="2">
        <f t="shared" si="21"/>
        <v>91420.44467981784</v>
      </c>
      <c r="Z47" s="2">
        <f t="shared" si="22"/>
        <v>202729.7389334261</v>
      </c>
      <c r="AA47" s="2">
        <f t="shared" si="23"/>
        <v>-7713.3968947604008</v>
      </c>
      <c r="AB47" s="6">
        <f t="shared" si="24"/>
        <v>-3.6653117073193117E-2</v>
      </c>
      <c r="AC47" s="7">
        <f t="shared" si="25"/>
        <v>0.96334688292680692</v>
      </c>
      <c r="AD47" s="2">
        <f t="shared" si="26"/>
        <v>0</v>
      </c>
      <c r="AE47" s="2"/>
      <c r="AG47">
        <f t="shared" si="27"/>
        <v>2000</v>
      </c>
      <c r="AH47" s="6">
        <f t="shared" si="5"/>
        <v>0.54905261970549302</v>
      </c>
      <c r="AI47" s="6">
        <f t="shared" si="5"/>
        <v>0</v>
      </c>
      <c r="AJ47" s="7"/>
      <c r="AK47" s="7"/>
      <c r="AL47" s="6">
        <f t="shared" si="28"/>
        <v>0</v>
      </c>
      <c r="AM47" s="7"/>
      <c r="AN47" s="6">
        <f t="shared" si="29"/>
        <v>0.45094738029450709</v>
      </c>
      <c r="AO47" s="6">
        <f t="shared" si="30"/>
        <v>1</v>
      </c>
      <c r="AP47" s="7">
        <f t="shared" si="31"/>
        <v>0.54905261970549302</v>
      </c>
      <c r="AQ47" s="7">
        <f t="shared" si="32"/>
        <v>0</v>
      </c>
      <c r="AR47" s="24"/>
      <c r="AS47">
        <f t="shared" si="33"/>
        <v>2000</v>
      </c>
      <c r="AT47" s="1" t="b">
        <f t="shared" si="34"/>
        <v>0</v>
      </c>
      <c r="AU47" s="1" t="b">
        <f t="shared" si="35"/>
        <v>0</v>
      </c>
      <c r="AV47" s="1"/>
      <c r="AW47" s="1"/>
      <c r="AX47" s="1" t="b">
        <f t="shared" si="7"/>
        <v>0</v>
      </c>
      <c r="AY47" s="1"/>
      <c r="AZ47" s="1" t="b">
        <f t="shared" si="36"/>
        <v>0</v>
      </c>
      <c r="BA47" s="1" t="b">
        <f t="shared" si="37"/>
        <v>1</v>
      </c>
      <c r="BC47">
        <f t="shared" si="38"/>
        <v>2000</v>
      </c>
      <c r="BD47" s="2">
        <f t="shared" si="8"/>
        <v>121637.84336005565</v>
      </c>
      <c r="BE47" s="2">
        <f t="shared" si="8"/>
        <v>0</v>
      </c>
      <c r="BF47" s="2"/>
      <c r="BG47" s="2"/>
      <c r="BH47" s="2">
        <f t="shared" si="9"/>
        <v>0</v>
      </c>
      <c r="BI47" s="2"/>
      <c r="BJ47" s="2">
        <f t="shared" si="10"/>
        <v>81091.89557337045</v>
      </c>
      <c r="BK47" s="2">
        <f t="shared" si="39"/>
        <v>202729.7389334261</v>
      </c>
      <c r="BL47" s="2">
        <f t="shared" si="40"/>
        <v>0</v>
      </c>
      <c r="BM47" s="2"/>
    </row>
    <row r="48" spans="1:65" x14ac:dyDescent="0.25">
      <c r="A48">
        <f t="shared" si="6"/>
        <v>2001</v>
      </c>
      <c r="B48" s="2">
        <f t="shared" si="11"/>
        <v>107016.97458817696</v>
      </c>
      <c r="C48" s="2">
        <f t="shared" si="11"/>
        <v>0</v>
      </c>
      <c r="D48" s="2"/>
      <c r="E48" s="2"/>
      <c r="F48" s="2">
        <f t="shared" si="12"/>
        <v>0</v>
      </c>
      <c r="G48" s="2"/>
      <c r="H48" s="2">
        <f t="shared" si="13"/>
        <v>87927.942370205579</v>
      </c>
      <c r="I48" s="2">
        <f t="shared" si="41"/>
        <v>194944.91695838253</v>
      </c>
      <c r="J48" s="2">
        <f t="shared" si="14"/>
        <v>-13646.319274515932</v>
      </c>
      <c r="K48" s="6">
        <f t="shared" si="15"/>
        <v>-6.5421345215478766E-2</v>
      </c>
      <c r="L48" s="7">
        <f t="shared" si="16"/>
        <v>0.93457865478452118</v>
      </c>
      <c r="N48">
        <f t="shared" si="17"/>
        <v>2001</v>
      </c>
      <c r="O48" s="2">
        <f t="shared" si="18"/>
        <v>6060.7882076544129</v>
      </c>
      <c r="P48" s="2"/>
      <c r="Q48" s="2"/>
      <c r="R48">
        <f t="shared" si="19"/>
        <v>2001</v>
      </c>
      <c r="S48" s="2">
        <f t="shared" si="20"/>
        <v>103380.50166358432</v>
      </c>
      <c r="T48" s="2"/>
      <c r="U48" s="2"/>
      <c r="V48" s="2"/>
      <c r="W48" s="2"/>
      <c r="X48" s="2"/>
      <c r="Y48" s="2">
        <f t="shared" si="21"/>
        <v>85503.627087143817</v>
      </c>
      <c r="Z48" s="2">
        <f t="shared" si="22"/>
        <v>188884.12875072815</v>
      </c>
      <c r="AA48" s="2">
        <f t="shared" si="23"/>
        <v>-13845.610182697943</v>
      </c>
      <c r="AB48" s="6">
        <f t="shared" si="24"/>
        <v>-6.8295901013539356E-2</v>
      </c>
      <c r="AC48" s="7">
        <f t="shared" si="25"/>
        <v>0.93170409898646067</v>
      </c>
      <c r="AD48" s="2">
        <f t="shared" si="26"/>
        <v>0</v>
      </c>
      <c r="AE48" s="2"/>
      <c r="AG48">
        <f t="shared" si="27"/>
        <v>2001</v>
      </c>
      <c r="AH48" s="6">
        <f t="shared" si="5"/>
        <v>0.54732233114205364</v>
      </c>
      <c r="AI48" s="6">
        <f t="shared" si="5"/>
        <v>0</v>
      </c>
      <c r="AJ48" s="7"/>
      <c r="AK48" s="7"/>
      <c r="AL48" s="6">
        <f t="shared" si="28"/>
        <v>0</v>
      </c>
      <c r="AM48" s="6"/>
      <c r="AN48" s="38">
        <f t="shared" si="29"/>
        <v>0.4526776688579463</v>
      </c>
      <c r="AO48" s="6">
        <f t="shared" si="30"/>
        <v>1</v>
      </c>
      <c r="AP48" s="7">
        <f t="shared" si="31"/>
        <v>0.54732233114205364</v>
      </c>
      <c r="AQ48" s="7">
        <f t="shared" si="32"/>
        <v>0</v>
      </c>
      <c r="AR48" s="24"/>
      <c r="AS48">
        <f t="shared" si="33"/>
        <v>2001</v>
      </c>
      <c r="AT48" s="1" t="b">
        <f t="shared" si="34"/>
        <v>0</v>
      </c>
      <c r="AU48" s="1" t="b">
        <f t="shared" si="35"/>
        <v>0</v>
      </c>
      <c r="AV48" s="1"/>
      <c r="AW48" s="1"/>
      <c r="AX48" s="1" t="b">
        <f t="shared" si="7"/>
        <v>0</v>
      </c>
      <c r="AY48" s="1"/>
      <c r="AZ48" s="1" t="b">
        <f t="shared" si="36"/>
        <v>0</v>
      </c>
      <c r="BA48" s="1" t="b">
        <f t="shared" si="37"/>
        <v>1</v>
      </c>
      <c r="BC48">
        <f t="shared" si="38"/>
        <v>2001</v>
      </c>
      <c r="BD48" s="2">
        <f t="shared" si="8"/>
        <v>113330.47725043689</v>
      </c>
      <c r="BE48" s="2">
        <f t="shared" si="8"/>
        <v>0</v>
      </c>
      <c r="BF48" s="2"/>
      <c r="BG48" s="2"/>
      <c r="BH48" s="2">
        <f t="shared" si="9"/>
        <v>0</v>
      </c>
      <c r="BI48" s="2"/>
      <c r="BJ48" s="2">
        <f t="shared" si="10"/>
        <v>75553.651500291264</v>
      </c>
      <c r="BK48" s="2">
        <f t="shared" si="39"/>
        <v>188884.12875072815</v>
      </c>
      <c r="BL48" s="2">
        <f t="shared" si="40"/>
        <v>0</v>
      </c>
      <c r="BM48" s="2"/>
    </row>
    <row r="49" spans="1:65" x14ac:dyDescent="0.25">
      <c r="A49">
        <f t="shared" si="6"/>
        <v>2002</v>
      </c>
      <c r="B49" s="2">
        <f t="shared" si="11"/>
        <v>88227.776539465121</v>
      </c>
      <c r="C49" s="2">
        <f t="shared" si="11"/>
        <v>0</v>
      </c>
      <c r="D49" s="2"/>
      <c r="E49" s="2"/>
      <c r="F49" s="2"/>
      <c r="G49" s="2">
        <f>BH48*(1+(G13/100))</f>
        <v>0</v>
      </c>
      <c r="H49" s="2">
        <f t="shared" si="13"/>
        <v>81794.383114215321</v>
      </c>
      <c r="I49" s="2">
        <f t="shared" si="41"/>
        <v>170022.15965368046</v>
      </c>
      <c r="J49" s="2">
        <f t="shared" si="14"/>
        <v>-24922.757304702071</v>
      </c>
      <c r="K49" s="6">
        <f t="shared" si="15"/>
        <v>-0.12784512514385107</v>
      </c>
      <c r="L49" s="7">
        <f t="shared" si="16"/>
        <v>0.87215487485614895</v>
      </c>
      <c r="N49">
        <f t="shared" si="17"/>
        <v>2002</v>
      </c>
      <c r="O49" s="2">
        <f t="shared" si="18"/>
        <v>6157.7608189768835</v>
      </c>
      <c r="P49" s="2"/>
      <c r="Q49" s="2"/>
      <c r="R49">
        <f t="shared" si="19"/>
        <v>2002</v>
      </c>
      <c r="S49" s="2">
        <f t="shared" si="20"/>
        <v>84533.120048078985</v>
      </c>
      <c r="T49" s="2"/>
      <c r="U49" s="2"/>
      <c r="V49" s="2"/>
      <c r="W49" s="2"/>
      <c r="X49" s="2"/>
      <c r="Y49" s="2">
        <f t="shared" si="21"/>
        <v>79331.278786624564</v>
      </c>
      <c r="Z49" s="2">
        <f t="shared" si="22"/>
        <v>163864.39883470355</v>
      </c>
      <c r="AA49" s="2">
        <f t="shared" si="23"/>
        <v>-25019.729916024604</v>
      </c>
      <c r="AB49" s="6">
        <f t="shared" si="24"/>
        <v>-0.13246073178039927</v>
      </c>
      <c r="AC49" s="7">
        <f t="shared" si="25"/>
        <v>0.8675392682196007</v>
      </c>
      <c r="AD49" s="2">
        <f t="shared" si="26"/>
        <v>0</v>
      </c>
      <c r="AE49" s="2"/>
      <c r="AG49">
        <f t="shared" si="27"/>
        <v>2002</v>
      </c>
      <c r="AH49" s="6">
        <f t="shared" si="5"/>
        <v>0.51587239601294277</v>
      </c>
      <c r="AI49" s="6">
        <f t="shared" si="5"/>
        <v>0</v>
      </c>
      <c r="AJ49" s="7"/>
      <c r="AK49" s="7"/>
      <c r="AL49" s="6"/>
      <c r="AM49" s="6">
        <f t="shared" si="28"/>
        <v>0</v>
      </c>
      <c r="AN49" s="6">
        <f t="shared" si="29"/>
        <v>0.48412760398705723</v>
      </c>
      <c r="AO49" s="6">
        <f t="shared" si="30"/>
        <v>1</v>
      </c>
      <c r="AP49" s="7">
        <f t="shared" si="31"/>
        <v>0.51587239601294277</v>
      </c>
      <c r="AQ49" s="7">
        <f t="shared" si="32"/>
        <v>0</v>
      </c>
      <c r="AR49" s="24"/>
      <c r="AS49">
        <f t="shared" si="33"/>
        <v>2002</v>
      </c>
      <c r="AT49" s="1" t="b">
        <f t="shared" si="34"/>
        <v>0</v>
      </c>
      <c r="AU49" s="1" t="b">
        <f t="shared" si="35"/>
        <v>0</v>
      </c>
      <c r="AV49" s="1"/>
      <c r="AW49" s="1"/>
      <c r="AX49" s="1"/>
      <c r="AY49" s="1" t="b">
        <f t="shared" ref="AY49:AY64" si="42">AND((X49/$Z49)&gt;0.15,(X49/$Z49)&lt;0.25)</f>
        <v>0</v>
      </c>
      <c r="AZ49" s="1" t="b">
        <f t="shared" si="36"/>
        <v>0</v>
      </c>
      <c r="BA49" s="1" t="b">
        <f t="shared" si="37"/>
        <v>1</v>
      </c>
      <c r="BC49">
        <f t="shared" si="38"/>
        <v>2002</v>
      </c>
      <c r="BD49" s="2">
        <f t="shared" si="8"/>
        <v>98318.63930082212</v>
      </c>
      <c r="BE49" s="2">
        <f t="shared" si="8"/>
        <v>0</v>
      </c>
      <c r="BF49" s="2"/>
      <c r="BG49" s="2"/>
      <c r="BH49" s="2"/>
      <c r="BI49" s="2">
        <f>$BK49*BI$39</f>
        <v>0</v>
      </c>
      <c r="BJ49" s="2">
        <f t="shared" si="10"/>
        <v>65545.759533881428</v>
      </c>
      <c r="BK49" s="2">
        <f t="shared" si="39"/>
        <v>163864.39883470355</v>
      </c>
      <c r="BL49" s="2">
        <f t="shared" si="40"/>
        <v>0</v>
      </c>
      <c r="BM49" s="2"/>
    </row>
    <row r="50" spans="1:65" x14ac:dyDescent="0.25">
      <c r="A50">
        <f t="shared" si="6"/>
        <v>2003</v>
      </c>
      <c r="B50" s="2">
        <f t="shared" si="11"/>
        <v>126339.45150155641</v>
      </c>
      <c r="C50" s="2">
        <f t="shared" si="11"/>
        <v>0</v>
      </c>
      <c r="D50" s="2"/>
      <c r="E50" s="2"/>
      <c r="F50" s="2"/>
      <c r="G50" s="2">
        <f t="shared" ref="G50:G64" si="43">BI49*(1+(G14/100))</f>
        <v>0</v>
      </c>
      <c r="H50" s="2">
        <f t="shared" si="13"/>
        <v>68147.926187376521</v>
      </c>
      <c r="I50" s="2">
        <f t="shared" si="41"/>
        <v>194487.37768893293</v>
      </c>
      <c r="J50" s="2">
        <f t="shared" si="14"/>
        <v>24465.218035252474</v>
      </c>
      <c r="K50" s="6">
        <f t="shared" si="15"/>
        <v>0.14389429051534153</v>
      </c>
      <c r="L50" s="7">
        <f t="shared" si="16"/>
        <v>1.1438942905153415</v>
      </c>
      <c r="N50">
        <f t="shared" si="17"/>
        <v>2003</v>
      </c>
      <c r="O50" s="2">
        <f t="shared" si="18"/>
        <v>6311.7048394513049</v>
      </c>
      <c r="P50" s="2"/>
      <c r="Q50" s="2"/>
      <c r="R50">
        <f t="shared" si="19"/>
        <v>2003</v>
      </c>
      <c r="S50" s="2">
        <f t="shared" si="20"/>
        <v>122552.42859788562</v>
      </c>
      <c r="T50" s="2"/>
      <c r="U50" s="2"/>
      <c r="V50" s="2"/>
      <c r="W50" s="2"/>
      <c r="X50" s="2"/>
      <c r="Y50" s="2">
        <f t="shared" si="21"/>
        <v>65623.244251595999</v>
      </c>
      <c r="Z50" s="2">
        <f t="shared" si="22"/>
        <v>188175.67284948163</v>
      </c>
      <c r="AA50" s="2">
        <f t="shared" si="23"/>
        <v>24311.274014778086</v>
      </c>
      <c r="AB50" s="6">
        <f t="shared" si="24"/>
        <v>0.14836214691942831</v>
      </c>
      <c r="AC50" s="7">
        <f t="shared" si="25"/>
        <v>1.1483621469194283</v>
      </c>
      <c r="AD50" s="2">
        <f t="shared" si="26"/>
        <v>0</v>
      </c>
      <c r="AE50" s="2"/>
      <c r="AG50">
        <f t="shared" si="27"/>
        <v>2003</v>
      </c>
      <c r="AH50" s="38">
        <f t="shared" si="5"/>
        <v>0.65126605762644529</v>
      </c>
      <c r="AI50" s="6">
        <f t="shared" si="5"/>
        <v>0</v>
      </c>
      <c r="AJ50" s="7"/>
      <c r="AK50" s="7"/>
      <c r="AL50" s="7"/>
      <c r="AM50" s="6">
        <f t="shared" si="28"/>
        <v>0</v>
      </c>
      <c r="AN50" s="6">
        <f t="shared" si="29"/>
        <v>0.34873394237355465</v>
      </c>
      <c r="AO50" s="6">
        <f t="shared" si="30"/>
        <v>1</v>
      </c>
      <c r="AP50" s="7">
        <f t="shared" si="31"/>
        <v>0.65126605762644529</v>
      </c>
      <c r="AQ50" s="7">
        <f t="shared" si="32"/>
        <v>0</v>
      </c>
      <c r="AR50" s="24"/>
      <c r="AS50">
        <f t="shared" si="33"/>
        <v>2003</v>
      </c>
      <c r="AT50" s="1" t="b">
        <f t="shared" si="34"/>
        <v>0</v>
      </c>
      <c r="AU50" s="1" t="b">
        <f t="shared" si="35"/>
        <v>0</v>
      </c>
      <c r="AV50" s="1"/>
      <c r="AW50" s="1"/>
      <c r="AX50" s="1"/>
      <c r="AY50" s="1" t="b">
        <f t="shared" si="42"/>
        <v>0</v>
      </c>
      <c r="AZ50" s="1" t="b">
        <f t="shared" si="36"/>
        <v>1</v>
      </c>
      <c r="BA50" s="1" t="b">
        <f t="shared" si="37"/>
        <v>1</v>
      </c>
      <c r="BC50">
        <f t="shared" si="38"/>
        <v>2003</v>
      </c>
      <c r="BD50" s="2">
        <f t="shared" si="8"/>
        <v>112905.40370968898</v>
      </c>
      <c r="BE50" s="2">
        <f t="shared" si="8"/>
        <v>0</v>
      </c>
      <c r="BF50" s="2"/>
      <c r="BG50" s="2"/>
      <c r="BH50" s="2"/>
      <c r="BI50" s="2">
        <f>$BK50*BI$39</f>
        <v>0</v>
      </c>
      <c r="BJ50" s="2">
        <f t="shared" si="10"/>
        <v>75270.269139792654</v>
      </c>
      <c r="BK50" s="2">
        <f t="shared" si="39"/>
        <v>188175.67284948163</v>
      </c>
      <c r="BL50" s="2">
        <f t="shared" si="40"/>
        <v>0</v>
      </c>
      <c r="BM50" s="2"/>
    </row>
    <row r="51" spans="1:65" x14ac:dyDescent="0.25">
      <c r="A51">
        <f t="shared" si="6"/>
        <v>2004</v>
      </c>
      <c r="B51" s="2">
        <f t="shared" si="11"/>
        <v>125031.44406810957</v>
      </c>
      <c r="C51" s="2"/>
      <c r="D51" s="2">
        <f>($BE50*0.67)*(1+(D15/100))</f>
        <v>0</v>
      </c>
      <c r="E51" s="2">
        <f>($BE50*0.33)*(1+(E15/100))</f>
        <v>0</v>
      </c>
      <c r="F51" s="2"/>
      <c r="G51" s="2">
        <f t="shared" si="43"/>
        <v>0</v>
      </c>
      <c r="H51" s="2">
        <f t="shared" si="13"/>
        <v>78461.728551319859</v>
      </c>
      <c r="I51" s="2">
        <f t="shared" si="41"/>
        <v>203493.17261942942</v>
      </c>
      <c r="J51" s="2">
        <f t="shared" si="14"/>
        <v>9005.7949304964859</v>
      </c>
      <c r="K51" s="6">
        <f t="shared" si="15"/>
        <v>4.6305292597962518E-2</v>
      </c>
      <c r="L51" s="7">
        <f t="shared" si="16"/>
        <v>1.0463052925979626</v>
      </c>
      <c r="N51">
        <f t="shared" si="17"/>
        <v>2004</v>
      </c>
      <c r="O51" s="2">
        <f t="shared" si="18"/>
        <v>6437.9389362403308</v>
      </c>
      <c r="P51" s="2"/>
      <c r="Q51" s="2"/>
      <c r="R51">
        <f t="shared" si="19"/>
        <v>2004</v>
      </c>
      <c r="S51" s="2">
        <f t="shared" si="20"/>
        <v>121168.68070636537</v>
      </c>
      <c r="T51" s="2"/>
      <c r="U51" s="2"/>
      <c r="V51" s="2"/>
      <c r="W51" s="2"/>
      <c r="X51" s="2"/>
      <c r="Y51" s="2">
        <f t="shared" si="21"/>
        <v>75886.552976823732</v>
      </c>
      <c r="Z51" s="2">
        <f t="shared" si="22"/>
        <v>197055.23368318909</v>
      </c>
      <c r="AA51" s="2">
        <f t="shared" si="23"/>
        <v>8879.5608337074518</v>
      </c>
      <c r="AB51" s="6">
        <f t="shared" si="24"/>
        <v>4.7187613038642114E-2</v>
      </c>
      <c r="AC51" s="7">
        <f t="shared" si="25"/>
        <v>1.0471876130386422</v>
      </c>
      <c r="AD51" s="2">
        <f t="shared" si="26"/>
        <v>0</v>
      </c>
      <c r="AE51" s="2"/>
      <c r="AG51">
        <f t="shared" si="27"/>
        <v>2004</v>
      </c>
      <c r="AH51" s="6">
        <f t="shared" si="5"/>
        <v>0.61489704404995127</v>
      </c>
      <c r="AI51" s="7"/>
      <c r="AJ51" s="6">
        <f t="shared" ref="AJ51:AK64" si="44">U51/$Z51</f>
        <v>0</v>
      </c>
      <c r="AK51" s="6">
        <f t="shared" si="44"/>
        <v>0</v>
      </c>
      <c r="AL51" s="7"/>
      <c r="AM51" s="6">
        <f t="shared" si="28"/>
        <v>0</v>
      </c>
      <c r="AN51" s="6">
        <f t="shared" si="29"/>
        <v>0.38510295595004879</v>
      </c>
      <c r="AO51" s="6">
        <f t="shared" si="30"/>
        <v>1</v>
      </c>
      <c r="AP51" s="7">
        <f t="shared" si="31"/>
        <v>0.61489704404995127</v>
      </c>
      <c r="AQ51" s="7">
        <f t="shared" si="32"/>
        <v>0</v>
      </c>
      <c r="AR51" s="24"/>
      <c r="AS51">
        <f t="shared" si="33"/>
        <v>2004</v>
      </c>
      <c r="AT51" s="1" t="b">
        <f t="shared" si="34"/>
        <v>0</v>
      </c>
      <c r="AU51" s="1"/>
      <c r="AV51" s="1" t="b">
        <f>AND((U51/$Z51)&gt;0.15,(U51/$Z51)&lt;0.25)</f>
        <v>0</v>
      </c>
      <c r="AW51" s="1" t="b">
        <f>AND((V51/$Z51)&gt;0.05,(V51/$Z51)&lt;0.15)</f>
        <v>0</v>
      </c>
      <c r="AX51" s="1"/>
      <c r="AY51" s="1" t="b">
        <f t="shared" si="42"/>
        <v>0</v>
      </c>
      <c r="AZ51" s="1" t="b">
        <f t="shared" si="36"/>
        <v>0</v>
      </c>
      <c r="BA51" s="1" t="b">
        <f t="shared" si="37"/>
        <v>1</v>
      </c>
      <c r="BC51">
        <f t="shared" si="38"/>
        <v>2004</v>
      </c>
      <c r="BD51" s="2">
        <f>$BK51*BD$39</f>
        <v>118233.14020991344</v>
      </c>
      <c r="BE51" s="2"/>
      <c r="BF51" s="2">
        <f t="shared" ref="BF51:BG64" si="45">$BK51*BF$39</f>
        <v>0</v>
      </c>
      <c r="BG51" s="2">
        <f t="shared" si="45"/>
        <v>0</v>
      </c>
      <c r="BH51" s="2"/>
      <c r="BI51" s="2">
        <f>$BK51*BI$39</f>
        <v>0</v>
      </c>
      <c r="BJ51" s="2">
        <f t="shared" si="10"/>
        <v>78822.093473275643</v>
      </c>
      <c r="BK51" s="2">
        <f t="shared" si="39"/>
        <v>197055.23368318909</v>
      </c>
      <c r="BL51" s="2">
        <f t="shared" si="40"/>
        <v>0</v>
      </c>
      <c r="BM51" s="2"/>
    </row>
    <row r="52" spans="1:65" x14ac:dyDescent="0.25">
      <c r="A52">
        <f t="shared" si="6"/>
        <v>2005</v>
      </c>
      <c r="B52" s="2">
        <f t="shared" si="11"/>
        <v>123872.86099792633</v>
      </c>
      <c r="C52" s="2"/>
      <c r="D52" s="2">
        <f t="shared" ref="D52:E64" si="46">BF51*(1+(D16/100))</f>
        <v>0</v>
      </c>
      <c r="E52" s="2">
        <f t="shared" si="46"/>
        <v>0</v>
      </c>
      <c r="F52" s="2"/>
      <c r="G52" s="2">
        <f t="shared" si="43"/>
        <v>0</v>
      </c>
      <c r="H52" s="2">
        <f t="shared" si="13"/>
        <v>80713.823716634259</v>
      </c>
      <c r="I52" s="2">
        <f t="shared" si="41"/>
        <v>204586.68471456057</v>
      </c>
      <c r="J52" s="2">
        <f t="shared" si="14"/>
        <v>1093.5120951311546</v>
      </c>
      <c r="K52" s="6">
        <f t="shared" si="15"/>
        <v>5.3737040955974891E-3</v>
      </c>
      <c r="L52" s="7">
        <f t="shared" si="16"/>
        <v>1.0053737040955975</v>
      </c>
      <c r="N52">
        <f t="shared" si="17"/>
        <v>2005</v>
      </c>
      <c r="O52" s="2">
        <f t="shared" si="18"/>
        <v>6650.3909211362616</v>
      </c>
      <c r="P52" s="2"/>
      <c r="Q52" s="2"/>
      <c r="R52">
        <f t="shared" si="19"/>
        <v>2005</v>
      </c>
      <c r="S52" s="2">
        <f t="shared" si="20"/>
        <v>119882.62644524458</v>
      </c>
      <c r="T52" s="2"/>
      <c r="U52" s="2"/>
      <c r="V52" s="2"/>
      <c r="W52" s="2"/>
      <c r="X52" s="2"/>
      <c r="Y52" s="2">
        <f t="shared" si="21"/>
        <v>78053.667348179748</v>
      </c>
      <c r="Z52" s="2">
        <f t="shared" si="22"/>
        <v>197936.29379342432</v>
      </c>
      <c r="AA52" s="2">
        <f t="shared" si="23"/>
        <v>881.06011023523752</v>
      </c>
      <c r="AB52" s="6">
        <f t="shared" si="24"/>
        <v>4.471132756878415E-3</v>
      </c>
      <c r="AC52" s="7">
        <f t="shared" si="25"/>
        <v>1.0044711327568785</v>
      </c>
      <c r="AD52" s="2">
        <f t="shared" si="26"/>
        <v>0</v>
      </c>
      <c r="AE52" s="2"/>
      <c r="AG52">
        <f t="shared" si="27"/>
        <v>2005</v>
      </c>
      <c r="AH52" s="6">
        <f t="shared" si="5"/>
        <v>0.60566268139970203</v>
      </c>
      <c r="AI52" s="7"/>
      <c r="AJ52" s="6">
        <f t="shared" si="44"/>
        <v>0</v>
      </c>
      <c r="AK52" s="6">
        <f t="shared" si="44"/>
        <v>0</v>
      </c>
      <c r="AL52" s="7"/>
      <c r="AM52" s="6">
        <f t="shared" si="28"/>
        <v>0</v>
      </c>
      <c r="AN52" s="6">
        <f t="shared" si="29"/>
        <v>0.39433731860029797</v>
      </c>
      <c r="AO52" s="6">
        <f t="shared" si="30"/>
        <v>1</v>
      </c>
      <c r="AP52" s="7">
        <f t="shared" si="31"/>
        <v>0.60566268139970203</v>
      </c>
      <c r="AQ52" s="7">
        <f t="shared" si="32"/>
        <v>0</v>
      </c>
      <c r="AR52" s="24"/>
      <c r="AS52">
        <f t="shared" si="33"/>
        <v>2005</v>
      </c>
      <c r="AT52" s="1" t="b">
        <f t="shared" si="34"/>
        <v>0</v>
      </c>
      <c r="AU52" s="1"/>
      <c r="AV52" s="1" t="b">
        <f t="shared" ref="AV52:AV64" si="47">AND((U52/$Z52)&gt;0.15,(U52/$Z52)&lt;0.25)</f>
        <v>0</v>
      </c>
      <c r="AW52" s="1" t="b">
        <f t="shared" ref="AW52:AW64" si="48">AND((V52/$Z52)&gt;0.05,(V52/$Z52)&lt;0.15)</f>
        <v>0</v>
      </c>
      <c r="AX52" s="1"/>
      <c r="AY52" s="1" t="b">
        <f t="shared" si="42"/>
        <v>0</v>
      </c>
      <c r="AZ52" s="1" t="b">
        <f t="shared" si="36"/>
        <v>0</v>
      </c>
      <c r="BA52" s="1" t="b">
        <f t="shared" si="37"/>
        <v>1</v>
      </c>
      <c r="BC52">
        <f t="shared" si="38"/>
        <v>2005</v>
      </c>
      <c r="BD52" s="2">
        <f>$BK52*BD$39</f>
        <v>118761.77627605459</v>
      </c>
      <c r="BE52" s="2"/>
      <c r="BF52" s="2">
        <f t="shared" si="45"/>
        <v>0</v>
      </c>
      <c r="BG52" s="2">
        <f t="shared" si="45"/>
        <v>0</v>
      </c>
      <c r="BH52" s="2"/>
      <c r="BI52" s="2">
        <f>$BK52*BI$39</f>
        <v>0</v>
      </c>
      <c r="BJ52" s="2">
        <f t="shared" si="10"/>
        <v>79174.517517369735</v>
      </c>
      <c r="BK52" s="2">
        <f t="shared" si="39"/>
        <v>197936.29379342432</v>
      </c>
      <c r="BL52" s="2">
        <f t="shared" si="40"/>
        <v>0</v>
      </c>
      <c r="BM52" s="2"/>
    </row>
    <row r="53" spans="1:65" x14ac:dyDescent="0.25">
      <c r="A53">
        <f t="shared" si="6"/>
        <v>2006</v>
      </c>
      <c r="B53" s="2">
        <f t="shared" si="11"/>
        <v>137336.11808562954</v>
      </c>
      <c r="C53" s="2"/>
      <c r="D53" s="2">
        <f t="shared" si="46"/>
        <v>0</v>
      </c>
      <c r="E53" s="2">
        <f t="shared" si="46"/>
        <v>0</v>
      </c>
      <c r="F53" s="2"/>
      <c r="G53" s="2">
        <f t="shared" si="43"/>
        <v>0</v>
      </c>
      <c r="H53" s="2">
        <f t="shared" si="13"/>
        <v>82555.269415361414</v>
      </c>
      <c r="I53" s="2">
        <f t="shared" si="41"/>
        <v>219891.38750099094</v>
      </c>
      <c r="J53" s="2">
        <f t="shared" si="14"/>
        <v>15304.702786430367</v>
      </c>
      <c r="K53" s="6">
        <f t="shared" si="15"/>
        <v>7.4807912390698811E-2</v>
      </c>
      <c r="L53" s="7">
        <f t="shared" si="16"/>
        <v>1.0748079123906988</v>
      </c>
      <c r="N53">
        <f t="shared" si="17"/>
        <v>2006</v>
      </c>
      <c r="O53" s="2">
        <f t="shared" si="18"/>
        <v>6869.8538215337576</v>
      </c>
      <c r="P53" s="2"/>
      <c r="Q53" s="2"/>
      <c r="R53">
        <f t="shared" si="19"/>
        <v>2006</v>
      </c>
      <c r="S53" s="2">
        <f t="shared" si="20"/>
        <v>133214.20579270928</v>
      </c>
      <c r="T53" s="2"/>
      <c r="U53" s="2"/>
      <c r="V53" s="2"/>
      <c r="W53" s="2"/>
      <c r="X53" s="2"/>
      <c r="Y53" s="2">
        <f t="shared" si="21"/>
        <v>79807.327886747909</v>
      </c>
      <c r="Z53" s="2">
        <f t="shared" si="22"/>
        <v>213021.53367945721</v>
      </c>
      <c r="AA53" s="2">
        <f t="shared" si="23"/>
        <v>15085.239886032883</v>
      </c>
      <c r="AB53" s="6">
        <f t="shared" si="24"/>
        <v>7.6212601524087098E-2</v>
      </c>
      <c r="AC53" s="7">
        <f t="shared" si="25"/>
        <v>1.0762126015240872</v>
      </c>
      <c r="AD53" s="2">
        <f t="shared" si="26"/>
        <v>0</v>
      </c>
      <c r="AE53" s="2"/>
      <c r="AG53">
        <f t="shared" si="27"/>
        <v>2006</v>
      </c>
      <c r="AH53" s="6">
        <f t="shared" si="5"/>
        <v>0.62535558491078425</v>
      </c>
      <c r="AI53" s="7"/>
      <c r="AJ53" s="6">
        <f t="shared" si="44"/>
        <v>0</v>
      </c>
      <c r="AK53" s="6">
        <f t="shared" si="44"/>
        <v>0</v>
      </c>
      <c r="AL53" s="7"/>
      <c r="AM53" s="6">
        <f t="shared" si="28"/>
        <v>0</v>
      </c>
      <c r="AN53" s="59">
        <f t="shared" si="29"/>
        <v>0.3746444150892157</v>
      </c>
      <c r="AO53" s="6">
        <f t="shared" si="30"/>
        <v>1</v>
      </c>
      <c r="AP53" s="7">
        <f t="shared" si="31"/>
        <v>0.62535558491078425</v>
      </c>
      <c r="AQ53" s="7">
        <f t="shared" si="32"/>
        <v>0</v>
      </c>
      <c r="AR53" s="24"/>
      <c r="AS53">
        <f t="shared" si="33"/>
        <v>2006</v>
      </c>
      <c r="AT53" s="1" t="b">
        <f t="shared" si="34"/>
        <v>0</v>
      </c>
      <c r="AU53" s="1"/>
      <c r="AV53" s="1" t="b">
        <f t="shared" si="47"/>
        <v>0</v>
      </c>
      <c r="AW53" s="1" t="b">
        <f t="shared" si="48"/>
        <v>0</v>
      </c>
      <c r="AX53" s="1"/>
      <c r="AY53" s="1" t="b">
        <f t="shared" si="42"/>
        <v>0</v>
      </c>
      <c r="AZ53" s="1" t="b">
        <f t="shared" si="36"/>
        <v>0</v>
      </c>
      <c r="BA53" s="1" t="b">
        <f t="shared" si="37"/>
        <v>1</v>
      </c>
      <c r="BC53">
        <f t="shared" si="38"/>
        <v>2006</v>
      </c>
      <c r="BD53" s="2">
        <f t="shared" ref="BD53:BD64" si="49">$BK53*BD$39</f>
        <v>127812.92020767432</v>
      </c>
      <c r="BE53" s="2"/>
      <c r="BF53" s="2">
        <f t="shared" si="45"/>
        <v>0</v>
      </c>
      <c r="BG53" s="2">
        <f t="shared" si="45"/>
        <v>0</v>
      </c>
      <c r="BH53" s="2"/>
      <c r="BI53" s="2">
        <f t="shared" ref="BI53:BI64" si="50">$BK53*BI$39</f>
        <v>0</v>
      </c>
      <c r="BJ53" s="2">
        <f t="shared" si="10"/>
        <v>85208.613471782883</v>
      </c>
      <c r="BK53" s="2">
        <f t="shared" si="39"/>
        <v>213021.53367945721</v>
      </c>
      <c r="BL53" s="2">
        <f t="shared" si="40"/>
        <v>0</v>
      </c>
      <c r="BM53" s="2"/>
    </row>
    <row r="54" spans="1:65" x14ac:dyDescent="0.25">
      <c r="A54">
        <f t="shared" si="6"/>
        <v>2007</v>
      </c>
      <c r="B54" s="2">
        <f t="shared" si="11"/>
        <v>134702.03660686797</v>
      </c>
      <c r="C54" s="2"/>
      <c r="D54" s="2">
        <f t="shared" si="46"/>
        <v>0</v>
      </c>
      <c r="E54" s="2">
        <f t="shared" si="46"/>
        <v>0</v>
      </c>
      <c r="F54" s="2"/>
      <c r="G54" s="2">
        <f t="shared" si="43"/>
        <v>0</v>
      </c>
      <c r="H54" s="2">
        <f t="shared" si="13"/>
        <v>91105.049524030255</v>
      </c>
      <c r="I54" s="2">
        <f t="shared" si="41"/>
        <v>225807.08613089821</v>
      </c>
      <c r="J54" s="2">
        <f t="shared" si="14"/>
        <v>5915.6986299072742</v>
      </c>
      <c r="K54" s="6">
        <f t="shared" si="15"/>
        <v>2.6902820966012663E-2</v>
      </c>
      <c r="L54" s="7">
        <f t="shared" si="16"/>
        <v>1.0269028209660127</v>
      </c>
      <c r="N54">
        <f t="shared" si="17"/>
        <v>2007</v>
      </c>
      <c r="O54" s="2">
        <f t="shared" si="18"/>
        <v>7041.6001670721007</v>
      </c>
      <c r="P54" s="2"/>
      <c r="Q54" s="2"/>
      <c r="R54">
        <f t="shared" si="19"/>
        <v>2007</v>
      </c>
      <c r="S54" s="2">
        <f t="shared" si="20"/>
        <v>130477.07650662471</v>
      </c>
      <c r="T54" s="2"/>
      <c r="U54" s="2"/>
      <c r="V54" s="2"/>
      <c r="W54" s="2"/>
      <c r="X54" s="2"/>
      <c r="Y54" s="2">
        <f t="shared" si="21"/>
        <v>88288.409457201415</v>
      </c>
      <c r="Z54" s="2">
        <f t="shared" si="22"/>
        <v>218765.48596382613</v>
      </c>
      <c r="AA54" s="2">
        <f t="shared" si="23"/>
        <v>5743.9522843689192</v>
      </c>
      <c r="AB54" s="6">
        <f t="shared" si="24"/>
        <v>2.6964186132525433E-2</v>
      </c>
      <c r="AC54" s="7">
        <f t="shared" si="25"/>
        <v>1.0269641861325254</v>
      </c>
      <c r="AD54" s="2">
        <f t="shared" si="26"/>
        <v>0</v>
      </c>
      <c r="AE54" s="2"/>
      <c r="AG54">
        <f t="shared" si="27"/>
        <v>2007</v>
      </c>
      <c r="AH54" s="6">
        <f t="shared" si="5"/>
        <v>0.59642441279882552</v>
      </c>
      <c r="AI54" s="7"/>
      <c r="AJ54" s="6">
        <f t="shared" si="44"/>
        <v>0</v>
      </c>
      <c r="AK54" s="6">
        <f t="shared" si="44"/>
        <v>0</v>
      </c>
      <c r="AL54" s="7"/>
      <c r="AM54" s="38">
        <f t="shared" si="28"/>
        <v>0</v>
      </c>
      <c r="AN54" s="38">
        <f t="shared" si="29"/>
        <v>0.40357558720117442</v>
      </c>
      <c r="AO54" s="6">
        <f t="shared" si="30"/>
        <v>1</v>
      </c>
      <c r="AP54" s="7">
        <f t="shared" si="31"/>
        <v>0.59642441279882552</v>
      </c>
      <c r="AQ54" s="7">
        <f t="shared" si="32"/>
        <v>0</v>
      </c>
      <c r="AR54" s="24"/>
      <c r="AS54">
        <f t="shared" si="33"/>
        <v>2007</v>
      </c>
      <c r="AT54" s="1" t="b">
        <f t="shared" si="34"/>
        <v>0</v>
      </c>
      <c r="AU54" s="1"/>
      <c r="AV54" s="1" t="b">
        <f t="shared" si="47"/>
        <v>0</v>
      </c>
      <c r="AW54" s="1" t="b">
        <f t="shared" si="48"/>
        <v>0</v>
      </c>
      <c r="AX54" s="1"/>
      <c r="AY54" s="1" t="b">
        <f t="shared" si="42"/>
        <v>0</v>
      </c>
      <c r="AZ54" s="39" t="b">
        <f t="shared" si="36"/>
        <v>0</v>
      </c>
      <c r="BA54" s="1" t="b">
        <f t="shared" si="37"/>
        <v>1</v>
      </c>
      <c r="BC54">
        <f t="shared" si="38"/>
        <v>2007</v>
      </c>
      <c r="BD54" s="2">
        <f t="shared" si="49"/>
        <v>131259.29157829567</v>
      </c>
      <c r="BE54" s="2"/>
      <c r="BF54" s="2">
        <f t="shared" si="45"/>
        <v>0</v>
      </c>
      <c r="BG54" s="2">
        <f t="shared" si="45"/>
        <v>0</v>
      </c>
      <c r="BH54" s="2"/>
      <c r="BI54" s="2">
        <f t="shared" si="50"/>
        <v>0</v>
      </c>
      <c r="BJ54" s="2">
        <f t="shared" si="10"/>
        <v>87506.194385530456</v>
      </c>
      <c r="BK54" s="2">
        <f t="shared" si="39"/>
        <v>218765.48596382613</v>
      </c>
      <c r="BL54" s="2">
        <f t="shared" si="40"/>
        <v>0</v>
      </c>
      <c r="BM54" s="2"/>
    </row>
    <row r="55" spans="1:65" x14ac:dyDescent="0.25">
      <c r="A55">
        <f t="shared" si="6"/>
        <v>2008</v>
      </c>
      <c r="B55" s="2">
        <f t="shared" si="11"/>
        <v>82667.101836010595</v>
      </c>
      <c r="C55" s="2"/>
      <c r="D55" s="2">
        <f t="shared" si="46"/>
        <v>0</v>
      </c>
      <c r="E55" s="2">
        <f t="shared" si="46"/>
        <v>0</v>
      </c>
      <c r="F55" s="2"/>
      <c r="G55" s="2">
        <f t="shared" si="43"/>
        <v>0</v>
      </c>
      <c r="H55" s="2">
        <f t="shared" si="13"/>
        <v>91925.257201999746</v>
      </c>
      <c r="I55" s="2">
        <f t="shared" si="41"/>
        <v>174592.35903801036</v>
      </c>
      <c r="J55" s="2">
        <f t="shared" si="14"/>
        <v>-51214.727092887857</v>
      </c>
      <c r="K55" s="6">
        <f t="shared" si="15"/>
        <v>-0.22680743979486617</v>
      </c>
      <c r="L55" s="7">
        <f t="shared" si="16"/>
        <v>0.77319256020513383</v>
      </c>
      <c r="N55">
        <f t="shared" si="17"/>
        <v>2008</v>
      </c>
      <c r="O55" s="2">
        <f t="shared" si="18"/>
        <v>7330.3057739220567</v>
      </c>
      <c r="P55" s="2"/>
      <c r="Q55" s="2"/>
      <c r="R55">
        <f t="shared" si="19"/>
        <v>2008</v>
      </c>
      <c r="S55" s="2">
        <f t="shared" si="20"/>
        <v>78268.918371657361</v>
      </c>
      <c r="T55" s="2"/>
      <c r="U55" s="2"/>
      <c r="V55" s="2"/>
      <c r="W55" s="2"/>
      <c r="X55" s="2"/>
      <c r="Y55" s="2">
        <f t="shared" si="21"/>
        <v>88993.134892430928</v>
      </c>
      <c r="Z55" s="2">
        <f t="shared" si="22"/>
        <v>167262.05326408829</v>
      </c>
      <c r="AA55" s="2">
        <f t="shared" si="23"/>
        <v>-51503.432699737838</v>
      </c>
      <c r="AB55" s="6">
        <f t="shared" si="24"/>
        <v>-0.23542759714964437</v>
      </c>
      <c r="AC55" s="7">
        <f t="shared" si="25"/>
        <v>0.76457240285035566</v>
      </c>
      <c r="AD55" s="2">
        <f t="shared" si="26"/>
        <v>0</v>
      </c>
      <c r="AE55" s="2"/>
      <c r="AG55">
        <f t="shared" si="27"/>
        <v>2008</v>
      </c>
      <c r="AH55" s="6">
        <f t="shared" ref="AH55:AH64" si="51">S55/$Z55</f>
        <v>0.46794187231505158</v>
      </c>
      <c r="AI55" s="7"/>
      <c r="AJ55" s="6">
        <f t="shared" si="44"/>
        <v>0</v>
      </c>
      <c r="AK55" s="6">
        <f t="shared" si="44"/>
        <v>0</v>
      </c>
      <c r="AL55" s="7"/>
      <c r="AM55" s="6">
        <f t="shared" si="28"/>
        <v>0</v>
      </c>
      <c r="AN55" s="38">
        <f t="shared" si="29"/>
        <v>0.53205812768494842</v>
      </c>
      <c r="AO55" s="6">
        <f t="shared" si="30"/>
        <v>1</v>
      </c>
      <c r="AP55" s="7">
        <f t="shared" si="31"/>
        <v>0.46794187231505158</v>
      </c>
      <c r="AQ55" s="7">
        <f t="shared" si="32"/>
        <v>0</v>
      </c>
      <c r="AR55" s="24"/>
      <c r="AS55">
        <f t="shared" si="33"/>
        <v>2008</v>
      </c>
      <c r="AT55" s="1" t="b">
        <f t="shared" si="34"/>
        <v>0</v>
      </c>
      <c r="AV55" s="1" t="b">
        <f t="shared" si="47"/>
        <v>0</v>
      </c>
      <c r="AW55" s="1" t="b">
        <f t="shared" si="48"/>
        <v>0</v>
      </c>
      <c r="AY55" s="1" t="b">
        <f t="shared" si="42"/>
        <v>0</v>
      </c>
      <c r="AZ55" s="39" t="b">
        <f t="shared" si="36"/>
        <v>0</v>
      </c>
      <c r="BA55" s="1" t="b">
        <f t="shared" si="37"/>
        <v>1</v>
      </c>
      <c r="BC55">
        <f t="shared" si="38"/>
        <v>2008</v>
      </c>
      <c r="BD55" s="2">
        <f t="shared" si="49"/>
        <v>100357.23195845298</v>
      </c>
      <c r="BE55" s="2"/>
      <c r="BF55" s="2">
        <f t="shared" si="45"/>
        <v>0</v>
      </c>
      <c r="BG55" s="2">
        <f t="shared" si="45"/>
        <v>0</v>
      </c>
      <c r="BH55" s="2"/>
      <c r="BI55" s="2">
        <f t="shared" si="50"/>
        <v>0</v>
      </c>
      <c r="BJ55" s="2">
        <f t="shared" si="10"/>
        <v>66904.821305635312</v>
      </c>
      <c r="BK55" s="2">
        <f t="shared" si="39"/>
        <v>167262.05326408829</v>
      </c>
      <c r="BL55" s="2">
        <f t="shared" si="40"/>
        <v>0</v>
      </c>
      <c r="BM55" s="2"/>
    </row>
    <row r="56" spans="1:65" x14ac:dyDescent="0.25">
      <c r="A56">
        <f t="shared" si="6"/>
        <v>2009</v>
      </c>
      <c r="B56" s="2">
        <f t="shared" si="11"/>
        <v>126941.86270424716</v>
      </c>
      <c r="C56" s="2"/>
      <c r="D56" s="2">
        <f t="shared" si="46"/>
        <v>0</v>
      </c>
      <c r="E56" s="2">
        <f t="shared" si="46"/>
        <v>0</v>
      </c>
      <c r="F56" s="2"/>
      <c r="G56" s="2">
        <f t="shared" si="43"/>
        <v>0</v>
      </c>
      <c r="H56" s="2">
        <f t="shared" si="13"/>
        <v>70872.277209059481</v>
      </c>
      <c r="I56" s="2">
        <f t="shared" si="41"/>
        <v>197814.13991330663</v>
      </c>
      <c r="J56" s="2">
        <f>I56-I55</f>
        <v>23221.780875296274</v>
      </c>
      <c r="K56" s="6">
        <f>(J56/I55)</f>
        <v>0.13300571115051307</v>
      </c>
      <c r="L56" s="7">
        <f t="shared" si="16"/>
        <v>1.133005711150513</v>
      </c>
      <c r="N56">
        <f t="shared" si="17"/>
        <v>2009</v>
      </c>
      <c r="O56" s="2">
        <f t="shared" si="18"/>
        <v>7330.3057739220567</v>
      </c>
      <c r="P56" s="2"/>
      <c r="Q56" s="2"/>
      <c r="R56">
        <f t="shared" si="19"/>
        <v>2009</v>
      </c>
      <c r="S56" s="2">
        <f t="shared" si="20"/>
        <v>122543.67923989393</v>
      </c>
      <c r="T56" s="2"/>
      <c r="U56" s="2"/>
      <c r="V56" s="2"/>
      <c r="W56" s="2"/>
      <c r="X56" s="2"/>
      <c r="Y56" s="2">
        <f t="shared" si="21"/>
        <v>67940.154899490663</v>
      </c>
      <c r="Z56" s="2">
        <f t="shared" si="22"/>
        <v>190483.83413938459</v>
      </c>
      <c r="AA56" s="2">
        <f>Z56-Z55</f>
        <v>23221.780875296303</v>
      </c>
      <c r="AB56" s="6">
        <f>(AA56/Z55)</f>
        <v>0.13883472325089588</v>
      </c>
      <c r="AC56" s="7">
        <f t="shared" si="25"/>
        <v>1.138834723250896</v>
      </c>
      <c r="AD56" s="2">
        <f t="shared" si="26"/>
        <v>0</v>
      </c>
      <c r="AE56" s="2"/>
      <c r="AG56">
        <f t="shared" si="27"/>
        <v>2009</v>
      </c>
      <c r="AH56" s="6">
        <f t="shared" si="51"/>
        <v>0.64332849973097372</v>
      </c>
      <c r="AI56" s="7"/>
      <c r="AJ56" s="6">
        <f t="shared" si="44"/>
        <v>0</v>
      </c>
      <c r="AK56" s="6">
        <f t="shared" si="44"/>
        <v>0</v>
      </c>
      <c r="AL56" s="7"/>
      <c r="AM56" s="6">
        <f t="shared" si="28"/>
        <v>0</v>
      </c>
      <c r="AN56" s="6">
        <f t="shared" si="29"/>
        <v>0.35667150026902628</v>
      </c>
      <c r="AO56" s="6">
        <f t="shared" si="30"/>
        <v>1</v>
      </c>
      <c r="AP56" s="7">
        <f t="shared" si="31"/>
        <v>0.64332849973097372</v>
      </c>
      <c r="AQ56" s="7">
        <f t="shared" si="32"/>
        <v>0</v>
      </c>
      <c r="AR56" s="24"/>
      <c r="AS56">
        <f t="shared" si="33"/>
        <v>2009</v>
      </c>
      <c r="AT56" s="1" t="b">
        <f t="shared" si="34"/>
        <v>0</v>
      </c>
      <c r="AV56" s="1" t="b">
        <f t="shared" si="47"/>
        <v>0</v>
      </c>
      <c r="AW56" s="1" t="b">
        <f t="shared" si="48"/>
        <v>0</v>
      </c>
      <c r="AY56" s="1" t="b">
        <f t="shared" si="42"/>
        <v>0</v>
      </c>
      <c r="AZ56" s="1" t="b">
        <f t="shared" si="36"/>
        <v>0</v>
      </c>
      <c r="BA56" s="1" t="b">
        <f t="shared" si="37"/>
        <v>1</v>
      </c>
      <c r="BC56">
        <f t="shared" si="38"/>
        <v>2009</v>
      </c>
      <c r="BD56" s="2">
        <f t="shared" si="49"/>
        <v>114290.30048363075</v>
      </c>
      <c r="BE56" s="2"/>
      <c r="BF56" s="2">
        <f t="shared" si="45"/>
        <v>0</v>
      </c>
      <c r="BG56" s="2">
        <f t="shared" si="45"/>
        <v>0</v>
      </c>
      <c r="BH56" s="2"/>
      <c r="BI56" s="2">
        <f t="shared" si="50"/>
        <v>0</v>
      </c>
      <c r="BJ56" s="2">
        <f t="shared" si="10"/>
        <v>76193.533655753839</v>
      </c>
      <c r="BK56" s="2">
        <f t="shared" si="39"/>
        <v>190483.83413938459</v>
      </c>
      <c r="BL56" s="2">
        <f t="shared" si="40"/>
        <v>0</v>
      </c>
      <c r="BM56" s="2"/>
    </row>
    <row r="57" spans="1:65" x14ac:dyDescent="0.25">
      <c r="A57">
        <f t="shared" si="6"/>
        <v>2010</v>
      </c>
      <c r="B57" s="2">
        <f t="shared" ref="B57:B64" si="52">BD56*(1+(B21/100))</f>
        <v>131330.98428574009</v>
      </c>
      <c r="C57" s="2"/>
      <c r="D57" s="2">
        <f t="shared" si="46"/>
        <v>0</v>
      </c>
      <c r="E57" s="2">
        <f t="shared" si="46"/>
        <v>0</v>
      </c>
      <c r="F57" s="2"/>
      <c r="G57" s="2">
        <f t="shared" si="43"/>
        <v>0</v>
      </c>
      <c r="H57" s="2">
        <f t="shared" si="13"/>
        <v>81085.158516453244</v>
      </c>
      <c r="I57" s="2">
        <f t="shared" si="41"/>
        <v>212416.14280219335</v>
      </c>
      <c r="J57" s="2">
        <f t="shared" si="14"/>
        <v>14602.002888886724</v>
      </c>
      <c r="K57" s="6">
        <f t="shared" si="15"/>
        <v>7.3816780212406202E-2</v>
      </c>
      <c r="L57" s="7">
        <f t="shared" si="16"/>
        <v>1.0738167802124061</v>
      </c>
      <c r="N57">
        <f t="shared" si="17"/>
        <v>2010</v>
      </c>
      <c r="O57" s="2">
        <f t="shared" si="18"/>
        <v>7535.5543355918744</v>
      </c>
      <c r="P57" s="2"/>
      <c r="Q57" s="2"/>
      <c r="R57">
        <f t="shared" si="19"/>
        <v>2010</v>
      </c>
      <c r="S57" s="2">
        <f t="shared" si="20"/>
        <v>126809.65168438497</v>
      </c>
      <c r="T57" s="2"/>
      <c r="U57" s="2"/>
      <c r="V57" s="2"/>
      <c r="W57" s="2"/>
      <c r="X57" s="2"/>
      <c r="Y57" s="2">
        <f t="shared" si="21"/>
        <v>78070.936782216493</v>
      </c>
      <c r="Z57" s="2">
        <f t="shared" si="22"/>
        <v>204880.58846660145</v>
      </c>
      <c r="AA57" s="2">
        <f t="shared" ref="AA57:AA64" si="53">Z57-Z56</f>
        <v>14396.754327216855</v>
      </c>
      <c r="AB57" s="6">
        <f t="shared" ref="AB57:AB64" si="54">(AA57/Z56)</f>
        <v>7.5579927253470638E-2</v>
      </c>
      <c r="AC57" s="7">
        <f t="shared" si="25"/>
        <v>1.0755799272534707</v>
      </c>
      <c r="AD57" s="2">
        <f t="shared" si="26"/>
        <v>0</v>
      </c>
      <c r="AE57" s="2"/>
      <c r="AG57">
        <f t="shared" si="27"/>
        <v>2010</v>
      </c>
      <c r="AH57" s="6">
        <f t="shared" si="51"/>
        <v>0.61894419883051444</v>
      </c>
      <c r="AI57" s="7"/>
      <c r="AJ57" s="6">
        <f t="shared" si="44"/>
        <v>0</v>
      </c>
      <c r="AK57" s="6">
        <f t="shared" si="44"/>
        <v>0</v>
      </c>
      <c r="AL57" s="7"/>
      <c r="AM57" s="6">
        <f t="shared" ref="AM57:AM64" si="55">X57/$Z57</f>
        <v>0</v>
      </c>
      <c r="AN57" s="6">
        <f t="shared" si="29"/>
        <v>0.38105580116948562</v>
      </c>
      <c r="AO57" s="6">
        <f t="shared" si="30"/>
        <v>1</v>
      </c>
      <c r="AP57" s="7">
        <f t="shared" si="31"/>
        <v>0.61894419883051444</v>
      </c>
      <c r="AQ57" s="7">
        <f t="shared" si="32"/>
        <v>0</v>
      </c>
      <c r="AR57" s="24"/>
      <c r="AS57">
        <f t="shared" si="33"/>
        <v>2010</v>
      </c>
      <c r="AT57" s="1" t="b">
        <f t="shared" si="34"/>
        <v>0</v>
      </c>
      <c r="AV57" s="1" t="b">
        <f t="shared" si="47"/>
        <v>0</v>
      </c>
      <c r="AW57" s="1" t="b">
        <f t="shared" si="48"/>
        <v>0</v>
      </c>
      <c r="AY57" s="1" t="b">
        <f t="shared" si="42"/>
        <v>0</v>
      </c>
      <c r="AZ57" s="1" t="b">
        <f t="shared" si="36"/>
        <v>0</v>
      </c>
      <c r="BA57" s="1" t="b">
        <f t="shared" si="37"/>
        <v>1</v>
      </c>
      <c r="BC57">
        <f t="shared" si="38"/>
        <v>2010</v>
      </c>
      <c r="BD57" s="2">
        <f t="shared" si="49"/>
        <v>122928.35307996086</v>
      </c>
      <c r="BE57" s="2"/>
      <c r="BF57" s="2">
        <f t="shared" si="45"/>
        <v>0</v>
      </c>
      <c r="BG57" s="2">
        <f t="shared" si="45"/>
        <v>0</v>
      </c>
      <c r="BH57" s="2"/>
      <c r="BI57" s="2">
        <f t="shared" si="50"/>
        <v>0</v>
      </c>
      <c r="BJ57" s="2">
        <f t="shared" si="10"/>
        <v>81952.23538664059</v>
      </c>
      <c r="BK57" s="2">
        <f t="shared" si="39"/>
        <v>204880.58846660145</v>
      </c>
      <c r="BL57" s="2">
        <f t="shared" si="40"/>
        <v>0</v>
      </c>
      <c r="BM57" s="2"/>
    </row>
    <row r="58" spans="1:65" x14ac:dyDescent="0.25">
      <c r="A58">
        <f t="shared" si="6"/>
        <v>2011</v>
      </c>
      <c r="B58" s="2">
        <f t="shared" si="52"/>
        <v>125350.04163563609</v>
      </c>
      <c r="C58" s="2"/>
      <c r="D58" s="2">
        <f t="shared" si="46"/>
        <v>0</v>
      </c>
      <c r="E58" s="2">
        <f t="shared" si="46"/>
        <v>0</v>
      </c>
      <c r="F58" s="2"/>
      <c r="G58" s="2">
        <f t="shared" si="43"/>
        <v>0</v>
      </c>
      <c r="H58" s="2">
        <f t="shared" si="13"/>
        <v>88147.824381870625</v>
      </c>
      <c r="I58" s="2">
        <f t="shared" si="41"/>
        <v>213497.86601750672</v>
      </c>
      <c r="J58" s="2">
        <f t="shared" si="14"/>
        <v>1081.7232153133664</v>
      </c>
      <c r="K58" s="6">
        <f t="shared" si="15"/>
        <v>5.0924717916598795E-3</v>
      </c>
      <c r="L58" s="7">
        <f t="shared" si="16"/>
        <v>1.0050924717916598</v>
      </c>
      <c r="N58">
        <f t="shared" si="17"/>
        <v>2011</v>
      </c>
      <c r="O58" s="2">
        <f t="shared" si="18"/>
        <v>7641.052096290161</v>
      </c>
      <c r="P58" s="2"/>
      <c r="Q58" s="2"/>
      <c r="R58">
        <f t="shared" si="19"/>
        <v>2011</v>
      </c>
      <c r="S58" s="2">
        <f t="shared" si="20"/>
        <v>120765.410377862</v>
      </c>
      <c r="T58" s="2"/>
      <c r="U58" s="2"/>
      <c r="V58" s="2"/>
      <c r="W58" s="2"/>
      <c r="X58" s="2"/>
      <c r="Y58" s="2">
        <f t="shared" si="21"/>
        <v>85091.403543354565</v>
      </c>
      <c r="Z58" s="2">
        <f t="shared" si="22"/>
        <v>205856.81392121658</v>
      </c>
      <c r="AA58" s="2">
        <f t="shared" si="53"/>
        <v>976.22545461513801</v>
      </c>
      <c r="AB58" s="6">
        <f t="shared" si="54"/>
        <v>4.7648508915439647E-3</v>
      </c>
      <c r="AC58" s="7">
        <f t="shared" si="25"/>
        <v>1.0047648508915439</v>
      </c>
      <c r="AD58" s="2">
        <f t="shared" si="26"/>
        <v>0</v>
      </c>
      <c r="AE58" s="2"/>
      <c r="AG58">
        <f t="shared" si="27"/>
        <v>2011</v>
      </c>
      <c r="AH58" s="6">
        <f t="shared" si="51"/>
        <v>0.5866476220897896</v>
      </c>
      <c r="AI58" s="7"/>
      <c r="AJ58" s="6">
        <f t="shared" si="44"/>
        <v>0</v>
      </c>
      <c r="AK58" s="6">
        <f t="shared" si="44"/>
        <v>0</v>
      </c>
      <c r="AL58" s="7"/>
      <c r="AM58" s="38">
        <f t="shared" si="55"/>
        <v>0</v>
      </c>
      <c r="AN58" s="38">
        <f t="shared" si="29"/>
        <v>0.41335237791021034</v>
      </c>
      <c r="AO58" s="6">
        <f t="shared" si="30"/>
        <v>1</v>
      </c>
      <c r="AP58" s="7">
        <f t="shared" si="31"/>
        <v>0.5866476220897896</v>
      </c>
      <c r="AQ58" s="7">
        <f t="shared" si="32"/>
        <v>0</v>
      </c>
      <c r="AR58" s="24"/>
      <c r="AS58">
        <f t="shared" si="33"/>
        <v>2011</v>
      </c>
      <c r="AT58" s="1" t="b">
        <f t="shared" si="34"/>
        <v>0</v>
      </c>
      <c r="AV58" s="1" t="b">
        <f t="shared" si="47"/>
        <v>0</v>
      </c>
      <c r="AW58" s="1" t="b">
        <f t="shared" si="48"/>
        <v>0</v>
      </c>
      <c r="AY58" s="1" t="b">
        <f t="shared" si="42"/>
        <v>0</v>
      </c>
      <c r="AZ58" s="1" t="b">
        <f t="shared" si="36"/>
        <v>0</v>
      </c>
      <c r="BA58" s="1" t="b">
        <f t="shared" si="37"/>
        <v>1</v>
      </c>
      <c r="BC58">
        <f t="shared" si="38"/>
        <v>2011</v>
      </c>
      <c r="BD58" s="2">
        <f t="shared" si="49"/>
        <v>123514.08835272994</v>
      </c>
      <c r="BE58" s="2"/>
      <c r="BF58" s="2">
        <f t="shared" si="45"/>
        <v>0</v>
      </c>
      <c r="BG58" s="2">
        <f t="shared" si="45"/>
        <v>0</v>
      </c>
      <c r="BH58" s="2"/>
      <c r="BI58" s="2">
        <f t="shared" si="50"/>
        <v>0</v>
      </c>
      <c r="BJ58" s="2">
        <f t="shared" si="10"/>
        <v>82342.72556848664</v>
      </c>
      <c r="BK58" s="2">
        <f t="shared" si="39"/>
        <v>205856.81392121658</v>
      </c>
      <c r="BL58" s="2">
        <f t="shared" si="40"/>
        <v>0</v>
      </c>
      <c r="BM58" s="2"/>
    </row>
    <row r="59" spans="1:65" x14ac:dyDescent="0.25">
      <c r="A59">
        <f t="shared" si="6"/>
        <v>2012</v>
      </c>
      <c r="B59" s="2">
        <f t="shared" si="52"/>
        <v>143054.0171301318</v>
      </c>
      <c r="C59" s="2"/>
      <c r="D59" s="2">
        <f t="shared" si="46"/>
        <v>0</v>
      </c>
      <c r="E59" s="2">
        <f t="shared" si="46"/>
        <v>0</v>
      </c>
      <c r="F59" s="2"/>
      <c r="G59" s="2">
        <f t="shared" si="43"/>
        <v>0</v>
      </c>
      <c r="H59" s="2">
        <f t="shared" si="13"/>
        <v>85677.605954010345</v>
      </c>
      <c r="I59" s="2">
        <f t="shared" si="41"/>
        <v>228731.62308414216</v>
      </c>
      <c r="J59" s="2">
        <f t="shared" si="14"/>
        <v>15233.757066635444</v>
      </c>
      <c r="K59" s="6">
        <f t="shared" si="15"/>
        <v>7.1353205307383649E-2</v>
      </c>
      <c r="L59" s="7">
        <f t="shared" si="16"/>
        <v>1.0713532053073838</v>
      </c>
      <c r="N59">
        <f t="shared" si="17"/>
        <v>2012</v>
      </c>
      <c r="O59" s="2">
        <f t="shared" si="18"/>
        <v>7870.2836591788664</v>
      </c>
      <c r="P59" s="2"/>
      <c r="Q59" s="2"/>
      <c r="R59">
        <f t="shared" si="19"/>
        <v>2012</v>
      </c>
      <c r="S59" s="2">
        <f t="shared" si="20"/>
        <v>138331.84693462448</v>
      </c>
      <c r="T59" s="2"/>
      <c r="U59" s="2"/>
      <c r="V59" s="2"/>
      <c r="W59" s="2"/>
      <c r="X59" s="2"/>
      <c r="Y59" s="2">
        <f t="shared" si="21"/>
        <v>82529.492490338802</v>
      </c>
      <c r="Z59" s="2">
        <f t="shared" si="22"/>
        <v>220861.33942496328</v>
      </c>
      <c r="AA59" s="2">
        <f t="shared" si="53"/>
        <v>15004.5255037467</v>
      </c>
      <c r="AB59" s="6">
        <f t="shared" si="54"/>
        <v>7.2888165409424235E-2</v>
      </c>
      <c r="AC59" s="7">
        <f t="shared" si="25"/>
        <v>1.0728881654094242</v>
      </c>
      <c r="AD59" s="2">
        <f t="shared" si="26"/>
        <v>0</v>
      </c>
      <c r="AE59" s="2"/>
      <c r="AG59">
        <f t="shared" si="27"/>
        <v>2012</v>
      </c>
      <c r="AH59" s="6">
        <f t="shared" si="51"/>
        <v>0.62632893241880461</v>
      </c>
      <c r="AI59" s="7"/>
      <c r="AJ59" s="6">
        <f t="shared" si="44"/>
        <v>0</v>
      </c>
      <c r="AK59" s="6">
        <f t="shared" si="44"/>
        <v>0</v>
      </c>
      <c r="AL59" s="7"/>
      <c r="AM59" s="6">
        <f t="shared" si="55"/>
        <v>0</v>
      </c>
      <c r="AN59" s="6">
        <f t="shared" si="29"/>
        <v>0.37367106758119545</v>
      </c>
      <c r="AO59" s="6">
        <f t="shared" si="30"/>
        <v>1</v>
      </c>
      <c r="AP59" s="7">
        <f t="shared" si="31"/>
        <v>0.62632893241880461</v>
      </c>
      <c r="AQ59" s="7">
        <f t="shared" si="32"/>
        <v>0</v>
      </c>
      <c r="AR59" s="24"/>
      <c r="AS59">
        <f t="shared" si="33"/>
        <v>2012</v>
      </c>
      <c r="AT59" s="1" t="b">
        <f t="shared" si="34"/>
        <v>0</v>
      </c>
      <c r="AV59" s="1" t="b">
        <f t="shared" si="47"/>
        <v>0</v>
      </c>
      <c r="AW59" s="1" t="b">
        <f t="shared" si="48"/>
        <v>0</v>
      </c>
      <c r="AY59" s="1" t="b">
        <f t="shared" si="42"/>
        <v>0</v>
      </c>
      <c r="AZ59" s="1" t="b">
        <f t="shared" si="36"/>
        <v>0</v>
      </c>
      <c r="BA59" s="1" t="b">
        <f t="shared" si="37"/>
        <v>1</v>
      </c>
      <c r="BC59">
        <f t="shared" si="38"/>
        <v>2012</v>
      </c>
      <c r="BD59" s="2">
        <f t="shared" si="49"/>
        <v>132516.80365497796</v>
      </c>
      <c r="BE59" s="2"/>
      <c r="BF59" s="2">
        <f t="shared" si="45"/>
        <v>0</v>
      </c>
      <c r="BG59" s="2">
        <f t="shared" si="45"/>
        <v>0</v>
      </c>
      <c r="BH59" s="2"/>
      <c r="BI59" s="2">
        <f t="shared" si="50"/>
        <v>0</v>
      </c>
      <c r="BJ59" s="2">
        <f t="shared" si="10"/>
        <v>88344.535769985319</v>
      </c>
      <c r="BK59" s="2">
        <f t="shared" si="39"/>
        <v>220861.33942496328</v>
      </c>
      <c r="BL59" s="2">
        <f t="shared" si="40"/>
        <v>0</v>
      </c>
      <c r="BM59" s="2"/>
    </row>
    <row r="60" spans="1:65" x14ac:dyDescent="0.25">
      <c r="A60">
        <f t="shared" si="6"/>
        <v>2013</v>
      </c>
      <c r="B60" s="2">
        <f t="shared" si="52"/>
        <v>175160.71107114988</v>
      </c>
      <c r="C60" s="2"/>
      <c r="D60" s="2">
        <f t="shared" si="46"/>
        <v>0</v>
      </c>
      <c r="E60" s="2">
        <f t="shared" si="46"/>
        <v>0</v>
      </c>
      <c r="F60" s="2"/>
      <c r="G60" s="2">
        <f t="shared" si="43"/>
        <v>0</v>
      </c>
      <c r="H60" s="2">
        <f t="shared" si="13"/>
        <v>86347.94926158365</v>
      </c>
      <c r="I60" s="2">
        <f t="shared" si="41"/>
        <v>261508.66033273353</v>
      </c>
      <c r="J60" s="2">
        <f t="shared" si="14"/>
        <v>32777.037248591369</v>
      </c>
      <c r="K60" s="6">
        <f t="shared" si="15"/>
        <v>0.14329910664138412</v>
      </c>
      <c r="L60" s="7">
        <f t="shared" si="16"/>
        <v>1.143299106641384</v>
      </c>
      <c r="N60">
        <f t="shared" si="17"/>
        <v>2013</v>
      </c>
      <c r="O60" s="2">
        <f t="shared" si="18"/>
        <v>8011.948765044086</v>
      </c>
      <c r="P60" s="2"/>
      <c r="Q60" s="2"/>
      <c r="R60">
        <f t="shared" si="19"/>
        <v>2013</v>
      </c>
      <c r="S60" s="2">
        <f t="shared" si="20"/>
        <v>170353.54181212344</v>
      </c>
      <c r="T60" s="2"/>
      <c r="U60" s="2"/>
      <c r="V60" s="2"/>
      <c r="W60" s="2"/>
      <c r="X60" s="2"/>
      <c r="Y60" s="2">
        <f t="shared" si="21"/>
        <v>83143.169755566021</v>
      </c>
      <c r="Z60" s="2">
        <f t="shared" si="22"/>
        <v>253496.71156768946</v>
      </c>
      <c r="AA60" s="2">
        <f t="shared" si="53"/>
        <v>32635.372142726177</v>
      </c>
      <c r="AB60" s="6">
        <f t="shared" si="54"/>
        <v>0.14776407780418224</v>
      </c>
      <c r="AC60" s="7">
        <f t="shared" si="25"/>
        <v>1.1477640778041822</v>
      </c>
      <c r="AD60" s="2">
        <f t="shared" si="26"/>
        <v>0</v>
      </c>
      <c r="AE60" s="2"/>
      <c r="AG60">
        <f t="shared" si="27"/>
        <v>2013</v>
      </c>
      <c r="AH60" s="6">
        <f t="shared" si="51"/>
        <v>0.67201479955543775</v>
      </c>
      <c r="AI60" s="7"/>
      <c r="AJ60" s="6">
        <f t="shared" si="44"/>
        <v>0</v>
      </c>
      <c r="AK60" s="6">
        <f t="shared" si="44"/>
        <v>0</v>
      </c>
      <c r="AL60" s="7"/>
      <c r="AM60" s="6">
        <f t="shared" si="55"/>
        <v>0</v>
      </c>
      <c r="AN60" s="38">
        <f t="shared" si="29"/>
        <v>0.32798520044456231</v>
      </c>
      <c r="AO60" s="6">
        <f t="shared" si="30"/>
        <v>1</v>
      </c>
      <c r="AP60" s="7">
        <f t="shared" si="31"/>
        <v>0.67201479955543775</v>
      </c>
      <c r="AQ60" s="7">
        <f t="shared" si="32"/>
        <v>0</v>
      </c>
      <c r="AR60" s="24"/>
      <c r="AS60">
        <f t="shared" si="33"/>
        <v>2013</v>
      </c>
      <c r="AT60" s="1" t="b">
        <f t="shared" si="34"/>
        <v>0</v>
      </c>
      <c r="AV60" s="1" t="b">
        <f t="shared" si="47"/>
        <v>0</v>
      </c>
      <c r="AW60" s="1" t="b">
        <f t="shared" si="48"/>
        <v>0</v>
      </c>
      <c r="AY60" s="1" t="b">
        <f t="shared" si="42"/>
        <v>0</v>
      </c>
      <c r="AZ60" s="39" t="b">
        <f t="shared" si="36"/>
        <v>1</v>
      </c>
      <c r="BA60" s="1" t="b">
        <f t="shared" si="37"/>
        <v>1</v>
      </c>
      <c r="BC60">
        <f t="shared" si="38"/>
        <v>2013</v>
      </c>
      <c r="BD60" s="2">
        <f t="shared" si="49"/>
        <v>152098.02694061366</v>
      </c>
      <c r="BE60" s="2"/>
      <c r="BF60" s="2">
        <f t="shared" si="45"/>
        <v>0</v>
      </c>
      <c r="BG60" s="2">
        <f t="shared" si="45"/>
        <v>0</v>
      </c>
      <c r="BH60" s="2"/>
      <c r="BI60" s="2">
        <f t="shared" si="50"/>
        <v>0</v>
      </c>
      <c r="BJ60" s="2">
        <f t="shared" si="10"/>
        <v>101398.6846270758</v>
      </c>
      <c r="BK60" s="2">
        <f t="shared" si="39"/>
        <v>253496.71156768946</v>
      </c>
      <c r="BL60" s="2">
        <f t="shared" si="40"/>
        <v>0</v>
      </c>
      <c r="BM60" s="2"/>
    </row>
    <row r="61" spans="1:65" x14ac:dyDescent="0.25">
      <c r="A61">
        <f t="shared" si="6"/>
        <v>2014</v>
      </c>
      <c r="B61" s="2">
        <f t="shared" si="52"/>
        <v>172646.47038029056</v>
      </c>
      <c r="C61" s="2"/>
      <c r="D61" s="2">
        <f t="shared" si="46"/>
        <v>0</v>
      </c>
      <c r="E61" s="2">
        <f t="shared" si="46"/>
        <v>0</v>
      </c>
      <c r="F61" s="2"/>
      <c r="G61" s="2">
        <f t="shared" si="43"/>
        <v>0</v>
      </c>
      <c r="H61" s="2">
        <f t="shared" si="13"/>
        <v>107239.24886159538</v>
      </c>
      <c r="I61" s="2">
        <f t="shared" si="41"/>
        <v>279885.71924188593</v>
      </c>
      <c r="J61" s="2">
        <f t="shared" si="14"/>
        <v>18377.058909152402</v>
      </c>
      <c r="K61" s="6">
        <f t="shared" si="15"/>
        <v>7.0273232579640535E-2</v>
      </c>
      <c r="L61" s="7">
        <f t="shared" si="16"/>
        <v>1.0702732325796405</v>
      </c>
      <c r="N61">
        <f t="shared" si="17"/>
        <v>2014</v>
      </c>
      <c r="O61" s="2">
        <f t="shared" si="18"/>
        <v>8104.5341804100053</v>
      </c>
      <c r="P61" s="2"/>
      <c r="Q61" s="2"/>
      <c r="R61">
        <f t="shared" si="19"/>
        <v>2014</v>
      </c>
      <c r="S61" s="2">
        <f t="shared" si="20"/>
        <v>167783.74987204454</v>
      </c>
      <c r="T61" s="2"/>
      <c r="U61" s="2"/>
      <c r="V61" s="2"/>
      <c r="W61" s="2"/>
      <c r="X61" s="2"/>
      <c r="Y61" s="2">
        <f t="shared" si="21"/>
        <v>103997.43518943137</v>
      </c>
      <c r="Z61" s="2">
        <f t="shared" si="22"/>
        <v>271781.1850614759</v>
      </c>
      <c r="AA61" s="2">
        <f t="shared" si="53"/>
        <v>18284.473493786441</v>
      </c>
      <c r="AB61" s="6">
        <f t="shared" si="54"/>
        <v>7.2129036233687258E-2</v>
      </c>
      <c r="AC61" s="7">
        <f t="shared" si="25"/>
        <v>1.0721290362336873</v>
      </c>
      <c r="AD61" s="2">
        <f t="shared" si="26"/>
        <v>0</v>
      </c>
      <c r="AE61" s="2"/>
      <c r="AG61">
        <f t="shared" si="27"/>
        <v>2014</v>
      </c>
      <c r="AH61" s="6">
        <f t="shared" si="51"/>
        <v>0.61734865801726668</v>
      </c>
      <c r="AI61" s="7"/>
      <c r="AJ61" s="6">
        <f t="shared" si="44"/>
        <v>0</v>
      </c>
      <c r="AK61" s="6">
        <f t="shared" si="44"/>
        <v>0</v>
      </c>
      <c r="AL61" s="7"/>
      <c r="AM61" s="6">
        <f t="shared" si="55"/>
        <v>0</v>
      </c>
      <c r="AN61" s="6">
        <f t="shared" si="29"/>
        <v>0.38265134198273343</v>
      </c>
      <c r="AO61" s="6">
        <f t="shared" si="30"/>
        <v>1</v>
      </c>
      <c r="AP61" s="7">
        <f t="shared" si="31"/>
        <v>0.61734865801726668</v>
      </c>
      <c r="AQ61" s="7">
        <f t="shared" si="32"/>
        <v>0</v>
      </c>
      <c r="AR61" s="24"/>
      <c r="AS61">
        <f t="shared" si="33"/>
        <v>2014</v>
      </c>
      <c r="AT61" s="1" t="b">
        <f t="shared" si="34"/>
        <v>0</v>
      </c>
      <c r="AV61" s="1" t="b">
        <f t="shared" si="47"/>
        <v>0</v>
      </c>
      <c r="AW61" s="1" t="b">
        <f t="shared" si="48"/>
        <v>0</v>
      </c>
      <c r="AY61" s="1" t="b">
        <f t="shared" si="42"/>
        <v>0</v>
      </c>
      <c r="AZ61" s="1" t="b">
        <f t="shared" si="36"/>
        <v>0</v>
      </c>
      <c r="BA61" s="1" t="b">
        <f t="shared" si="37"/>
        <v>1</v>
      </c>
      <c r="BC61">
        <f t="shared" si="38"/>
        <v>2014</v>
      </c>
      <c r="BD61" s="2">
        <f t="shared" si="49"/>
        <v>163068.71103688554</v>
      </c>
      <c r="BE61" s="2"/>
      <c r="BF61" s="2">
        <f t="shared" si="45"/>
        <v>0</v>
      </c>
      <c r="BG61" s="2">
        <f t="shared" si="45"/>
        <v>0</v>
      </c>
      <c r="BH61" s="2"/>
      <c r="BI61" s="2">
        <f t="shared" si="50"/>
        <v>0</v>
      </c>
      <c r="BJ61" s="2">
        <f t="shared" si="10"/>
        <v>108712.47402459037</v>
      </c>
      <c r="BK61" s="2">
        <f t="shared" si="39"/>
        <v>271781.1850614759</v>
      </c>
      <c r="BL61" s="2">
        <f t="shared" si="40"/>
        <v>0</v>
      </c>
      <c r="BM61" s="2"/>
    </row>
    <row r="62" spans="1:65" x14ac:dyDescent="0.25">
      <c r="A62">
        <f t="shared" si="6"/>
        <v>2015</v>
      </c>
      <c r="B62" s="2">
        <f t="shared" si="52"/>
        <v>165107.06992484661</v>
      </c>
      <c r="C62" s="2"/>
      <c r="D62" s="2">
        <f t="shared" si="46"/>
        <v>0</v>
      </c>
      <c r="E62" s="2">
        <f t="shared" si="46"/>
        <v>0</v>
      </c>
      <c r="F62" s="2"/>
      <c r="G62" s="2">
        <f t="shared" si="43"/>
        <v>0</v>
      </c>
      <c r="H62" s="2">
        <f t="shared" si="13"/>
        <v>109038.61144666413</v>
      </c>
      <c r="I62" s="2">
        <f t="shared" si="41"/>
        <v>274145.68137151073</v>
      </c>
      <c r="J62" s="2">
        <f t="shared" si="14"/>
        <v>-5740.0378703752067</v>
      </c>
      <c r="K62" s="6">
        <f t="shared" si="15"/>
        <v>-2.0508505706982812E-2</v>
      </c>
      <c r="L62" s="7">
        <f t="shared" si="16"/>
        <v>0.97949149429301718</v>
      </c>
      <c r="N62">
        <f t="shared" si="17"/>
        <v>2015</v>
      </c>
      <c r="O62" s="2">
        <f t="shared" si="18"/>
        <v>8209.0826713372935</v>
      </c>
      <c r="P62" s="2"/>
      <c r="Q62" s="2"/>
      <c r="R62">
        <f t="shared" si="19"/>
        <v>2015</v>
      </c>
      <c r="S62" s="2">
        <f t="shared" si="20"/>
        <v>160181.62032204424</v>
      </c>
      <c r="T62" s="2"/>
      <c r="U62" s="2"/>
      <c r="V62" s="2"/>
      <c r="W62" s="2"/>
      <c r="X62" s="2"/>
      <c r="Y62" s="2">
        <f t="shared" si="21"/>
        <v>105754.97837812921</v>
      </c>
      <c r="Z62" s="2">
        <f t="shared" si="22"/>
        <v>265936.59870017343</v>
      </c>
      <c r="AA62" s="2">
        <f t="shared" si="53"/>
        <v>-5844.5863613024703</v>
      </c>
      <c r="AB62" s="6">
        <f t="shared" si="54"/>
        <v>-2.1504749712458741E-2</v>
      </c>
      <c r="AC62" s="7">
        <f t="shared" si="25"/>
        <v>0.97849525028754125</v>
      </c>
      <c r="AD62" s="2">
        <f t="shared" si="26"/>
        <v>0</v>
      </c>
      <c r="AE62" s="2"/>
      <c r="AG62">
        <f t="shared" si="27"/>
        <v>2015</v>
      </c>
      <c r="AH62" s="6">
        <f t="shared" si="51"/>
        <v>0.6023301083978998</v>
      </c>
      <c r="AI62" s="7"/>
      <c r="AJ62" s="6">
        <f t="shared" si="44"/>
        <v>0</v>
      </c>
      <c r="AK62" s="6">
        <f t="shared" si="44"/>
        <v>0</v>
      </c>
      <c r="AL62" s="7"/>
      <c r="AM62" s="6">
        <f t="shared" si="55"/>
        <v>0</v>
      </c>
      <c r="AN62" s="38">
        <f t="shared" si="29"/>
        <v>0.39766989160210026</v>
      </c>
      <c r="AO62" s="6">
        <f t="shared" si="30"/>
        <v>1</v>
      </c>
      <c r="AP62" s="7">
        <f t="shared" si="31"/>
        <v>0.6023301083978998</v>
      </c>
      <c r="AQ62" s="7">
        <f t="shared" si="32"/>
        <v>0</v>
      </c>
      <c r="AR62" s="24"/>
      <c r="AS62">
        <f t="shared" si="33"/>
        <v>2015</v>
      </c>
      <c r="AT62" s="1" t="b">
        <f t="shared" si="34"/>
        <v>0</v>
      </c>
      <c r="AV62" s="1" t="b">
        <f t="shared" si="47"/>
        <v>0</v>
      </c>
      <c r="AW62" s="1" t="b">
        <f t="shared" si="48"/>
        <v>0</v>
      </c>
      <c r="AY62" s="1" t="b">
        <f t="shared" si="42"/>
        <v>0</v>
      </c>
      <c r="AZ62" s="1" t="b">
        <f t="shared" si="36"/>
        <v>0</v>
      </c>
      <c r="BA62" s="1" t="b">
        <f t="shared" si="37"/>
        <v>1</v>
      </c>
      <c r="BC62">
        <f t="shared" si="38"/>
        <v>2015</v>
      </c>
      <c r="BD62" s="2">
        <f t="shared" si="49"/>
        <v>159561.95922010407</v>
      </c>
      <c r="BE62" s="2"/>
      <c r="BF62" s="2">
        <f t="shared" si="45"/>
        <v>0</v>
      </c>
      <c r="BG62" s="2">
        <f t="shared" si="45"/>
        <v>0</v>
      </c>
      <c r="BH62" s="2"/>
      <c r="BI62" s="2">
        <f t="shared" si="50"/>
        <v>0</v>
      </c>
      <c r="BJ62" s="2">
        <f t="shared" si="10"/>
        <v>106374.63948006938</v>
      </c>
      <c r="BK62" s="2">
        <f t="shared" si="39"/>
        <v>265936.59870017343</v>
      </c>
      <c r="BL62" s="2">
        <f t="shared" si="40"/>
        <v>0</v>
      </c>
      <c r="BM62" s="2"/>
    </row>
    <row r="63" spans="1:65" x14ac:dyDescent="0.25">
      <c r="A63">
        <f t="shared" si="6"/>
        <v>2016</v>
      </c>
      <c r="B63" s="2">
        <f t="shared" si="52"/>
        <v>178422.18279992038</v>
      </c>
      <c r="C63" s="2"/>
      <c r="D63" s="2">
        <f t="shared" si="46"/>
        <v>0</v>
      </c>
      <c r="E63" s="2">
        <f t="shared" si="46"/>
        <v>0</v>
      </c>
      <c r="F63" s="2"/>
      <c r="G63" s="2">
        <f t="shared" si="43"/>
        <v>0</v>
      </c>
      <c r="H63" s="2">
        <f t="shared" si="13"/>
        <v>109034.00546707111</v>
      </c>
      <c r="I63" s="2">
        <f t="shared" si="41"/>
        <v>287456.18826699152</v>
      </c>
      <c r="J63" s="2">
        <f t="shared" si="14"/>
        <v>13310.506895480794</v>
      </c>
      <c r="K63" s="6">
        <f t="shared" si="15"/>
        <v>4.8552677645295292E-2</v>
      </c>
      <c r="L63" s="7">
        <f t="shared" si="16"/>
        <v>1.0485526776452954</v>
      </c>
      <c r="N63">
        <f t="shared" si="17"/>
        <v>2016</v>
      </c>
      <c r="O63" s="2">
        <f t="shared" si="18"/>
        <v>8245.2026350911765</v>
      </c>
      <c r="P63" s="2"/>
      <c r="Q63" s="2"/>
      <c r="R63">
        <f t="shared" si="19"/>
        <v>2016</v>
      </c>
      <c r="S63" s="2">
        <f t="shared" si="20"/>
        <v>173475.06121886568</v>
      </c>
      <c r="T63" s="2"/>
      <c r="U63" s="2"/>
      <c r="V63" s="2"/>
      <c r="W63" s="2"/>
      <c r="X63" s="2"/>
      <c r="Y63" s="2">
        <f t="shared" si="21"/>
        <v>105735.92441303463</v>
      </c>
      <c r="Z63" s="2">
        <f t="shared" si="22"/>
        <v>279210.98563190032</v>
      </c>
      <c r="AA63" s="2">
        <f t="shared" si="53"/>
        <v>13274.386931726884</v>
      </c>
      <c r="AB63" s="6">
        <f t="shared" si="54"/>
        <v>4.9915607692241369E-2</v>
      </c>
      <c r="AC63" s="7">
        <f t="shared" si="25"/>
        <v>1.0499156076922413</v>
      </c>
      <c r="AD63" s="2">
        <f t="shared" si="26"/>
        <v>0</v>
      </c>
      <c r="AE63" s="2"/>
      <c r="AG63">
        <f t="shared" si="27"/>
        <v>2016</v>
      </c>
      <c r="AH63" s="6">
        <f t="shared" si="51"/>
        <v>0.62130456946836499</v>
      </c>
      <c r="AI63" s="7"/>
      <c r="AJ63" s="6">
        <f t="shared" si="44"/>
        <v>0</v>
      </c>
      <c r="AK63" s="6">
        <f t="shared" si="44"/>
        <v>0</v>
      </c>
      <c r="AL63" s="7"/>
      <c r="AM63" s="6">
        <f t="shared" si="55"/>
        <v>0</v>
      </c>
      <c r="AN63" s="6">
        <f t="shared" si="29"/>
        <v>0.37869543053163496</v>
      </c>
      <c r="AO63" s="6">
        <f t="shared" si="30"/>
        <v>1</v>
      </c>
      <c r="AP63" s="7">
        <f t="shared" si="31"/>
        <v>0.62130456946836499</v>
      </c>
      <c r="AQ63" s="7">
        <f t="shared" si="32"/>
        <v>0</v>
      </c>
      <c r="AR63" s="24"/>
      <c r="AS63">
        <f t="shared" si="33"/>
        <v>2016</v>
      </c>
      <c r="AT63" s="1" t="b">
        <f t="shared" si="34"/>
        <v>0</v>
      </c>
      <c r="AV63" s="1" t="b">
        <f t="shared" si="47"/>
        <v>0</v>
      </c>
      <c r="AW63" s="1" t="b">
        <f t="shared" si="48"/>
        <v>0</v>
      </c>
      <c r="AY63" s="1" t="b">
        <f t="shared" si="42"/>
        <v>0</v>
      </c>
      <c r="AZ63" s="1" t="b">
        <f t="shared" si="36"/>
        <v>0</v>
      </c>
      <c r="BA63" s="1" t="b">
        <f t="shared" si="37"/>
        <v>1</v>
      </c>
      <c r="BC63">
        <f t="shared" si="38"/>
        <v>2016</v>
      </c>
      <c r="BD63" s="2">
        <f t="shared" si="49"/>
        <v>167526.59137914018</v>
      </c>
      <c r="BE63" s="2"/>
      <c r="BF63" s="2">
        <f t="shared" si="45"/>
        <v>0</v>
      </c>
      <c r="BG63" s="2">
        <f t="shared" si="45"/>
        <v>0</v>
      </c>
      <c r="BH63" s="2"/>
      <c r="BI63" s="2">
        <f t="shared" si="50"/>
        <v>0</v>
      </c>
      <c r="BJ63" s="2">
        <f t="shared" si="10"/>
        <v>111684.39425276013</v>
      </c>
      <c r="BK63" s="2">
        <f t="shared" si="39"/>
        <v>279210.98563190032</v>
      </c>
      <c r="BL63" s="2">
        <f t="shared" si="40"/>
        <v>0</v>
      </c>
      <c r="BM63" s="2"/>
    </row>
    <row r="64" spans="1:65" x14ac:dyDescent="0.25">
      <c r="A64">
        <f t="shared" si="6"/>
        <v>2017</v>
      </c>
      <c r="B64" s="2">
        <f t="shared" si="52"/>
        <v>203829.60373099984</v>
      </c>
      <c r="C64" s="2"/>
      <c r="D64" s="2">
        <f t="shared" si="46"/>
        <v>0</v>
      </c>
      <c r="E64" s="2">
        <f t="shared" si="46"/>
        <v>0</v>
      </c>
      <c r="F64" s="2"/>
      <c r="G64" s="2">
        <f t="shared" si="43"/>
        <v>0</v>
      </c>
      <c r="H64" s="2">
        <f t="shared" si="13"/>
        <v>115548.67429390563</v>
      </c>
      <c r="I64" s="2">
        <f t="shared" si="41"/>
        <v>319378.27802490548</v>
      </c>
      <c r="J64" s="2">
        <f t="shared" si="14"/>
        <v>31922.089757913956</v>
      </c>
      <c r="K64" s="6">
        <f t="shared" si="15"/>
        <v>0.11105027848022696</v>
      </c>
      <c r="L64" s="7">
        <f t="shared" si="16"/>
        <v>1.111050278480227</v>
      </c>
      <c r="N64">
        <f t="shared" si="17"/>
        <v>2017</v>
      </c>
      <c r="O64" s="2">
        <f t="shared" si="18"/>
        <v>8385.3710798877255</v>
      </c>
      <c r="P64" s="2"/>
      <c r="Q64" s="2"/>
      <c r="R64">
        <f t="shared" si="19"/>
        <v>2017</v>
      </c>
      <c r="S64" s="2">
        <f t="shared" si="20"/>
        <v>198798.38108306719</v>
      </c>
      <c r="T64" s="2"/>
      <c r="U64" s="2"/>
      <c r="V64" s="2"/>
      <c r="W64" s="2"/>
      <c r="X64" s="2"/>
      <c r="Y64" s="2">
        <f t="shared" si="21"/>
        <v>112194.52586195053</v>
      </c>
      <c r="Z64" s="2">
        <f t="shared" si="22"/>
        <v>310992.90694501775</v>
      </c>
      <c r="AA64" s="2">
        <f t="shared" si="53"/>
        <v>31781.921313117433</v>
      </c>
      <c r="AB64" s="6">
        <f t="shared" si="54"/>
        <v>0.11382761763900416</v>
      </c>
      <c r="AC64" s="7">
        <f t="shared" si="25"/>
        <v>1.1138276176390041</v>
      </c>
      <c r="AD64" s="2">
        <f t="shared" si="26"/>
        <v>0</v>
      </c>
      <c r="AE64" s="2"/>
      <c r="AG64">
        <f t="shared" si="27"/>
        <v>2017</v>
      </c>
      <c r="AH64" s="6">
        <f t="shared" si="51"/>
        <v>0.63923766955306771</v>
      </c>
      <c r="AI64" s="7"/>
      <c r="AJ64" s="6">
        <f t="shared" si="44"/>
        <v>0</v>
      </c>
      <c r="AK64" s="6">
        <f t="shared" si="44"/>
        <v>0</v>
      </c>
      <c r="AL64" s="7"/>
      <c r="AM64" s="6">
        <f t="shared" si="55"/>
        <v>0</v>
      </c>
      <c r="AN64" s="6">
        <f t="shared" si="29"/>
        <v>0.36076233044693223</v>
      </c>
      <c r="AO64" s="6">
        <f t="shared" si="30"/>
        <v>1</v>
      </c>
      <c r="AP64" s="7">
        <f t="shared" si="31"/>
        <v>0.63923766955306771</v>
      </c>
      <c r="AQ64" s="7">
        <f t="shared" si="32"/>
        <v>0</v>
      </c>
      <c r="AR64" s="24"/>
      <c r="AS64">
        <f t="shared" si="33"/>
        <v>2017</v>
      </c>
      <c r="AT64" s="1" t="b">
        <f t="shared" si="34"/>
        <v>0</v>
      </c>
      <c r="AV64" s="1" t="b">
        <f t="shared" si="47"/>
        <v>0</v>
      </c>
      <c r="AW64" s="1" t="b">
        <f t="shared" si="48"/>
        <v>0</v>
      </c>
      <c r="AY64" s="1" t="b">
        <f t="shared" si="42"/>
        <v>0</v>
      </c>
      <c r="AZ64" s="1" t="b">
        <f t="shared" si="36"/>
        <v>0</v>
      </c>
      <c r="BA64" s="1" t="b">
        <f t="shared" si="37"/>
        <v>1</v>
      </c>
      <c r="BC64">
        <f t="shared" si="38"/>
        <v>2017</v>
      </c>
      <c r="BD64" s="2">
        <f t="shared" si="49"/>
        <v>186595.74416701065</v>
      </c>
      <c r="BE64" s="2"/>
      <c r="BF64" s="2">
        <f t="shared" si="45"/>
        <v>0</v>
      </c>
      <c r="BG64" s="2">
        <f t="shared" si="45"/>
        <v>0</v>
      </c>
      <c r="BH64" s="2"/>
      <c r="BI64" s="2">
        <f t="shared" si="50"/>
        <v>0</v>
      </c>
      <c r="BJ64" s="2">
        <f t="shared" si="10"/>
        <v>124397.1627780071</v>
      </c>
      <c r="BK64" s="2">
        <f t="shared" si="39"/>
        <v>310992.90694501775</v>
      </c>
      <c r="BL64" s="2">
        <f t="shared" si="40"/>
        <v>0</v>
      </c>
      <c r="BM64" s="2"/>
    </row>
    <row r="65" spans="1:62" x14ac:dyDescent="0.25">
      <c r="A65" s="9" t="s">
        <v>79</v>
      </c>
      <c r="B65" s="10">
        <f>BD64</f>
        <v>186595.74416701065</v>
      </c>
      <c r="C65" s="10"/>
      <c r="D65" s="10">
        <f>BF64</f>
        <v>0</v>
      </c>
      <c r="E65" s="10">
        <f>BG64</f>
        <v>0</v>
      </c>
      <c r="F65" s="10"/>
      <c r="G65" s="10">
        <f>BI64</f>
        <v>0</v>
      </c>
      <c r="H65" s="10">
        <f>BJ64</f>
        <v>124397.1627780071</v>
      </c>
      <c r="I65" s="10">
        <f>SUM(B65:H65)</f>
        <v>310992.90694501775</v>
      </c>
      <c r="J65" s="10"/>
      <c r="K65" s="10"/>
      <c r="L65" s="74"/>
      <c r="N65" t="s">
        <v>40</v>
      </c>
      <c r="O65" s="2">
        <f>O64</f>
        <v>8385.3710798877255</v>
      </c>
      <c r="P65" s="2"/>
      <c r="R65" s="9" t="s">
        <v>79</v>
      </c>
      <c r="S65" s="10">
        <f>S64</f>
        <v>198798.38108306719</v>
      </c>
      <c r="T65" s="10"/>
      <c r="U65" s="10">
        <f>U64</f>
        <v>0</v>
      </c>
      <c r="V65" s="10">
        <f>V64</f>
        <v>0</v>
      </c>
      <c r="W65" s="10"/>
      <c r="X65" s="10">
        <f>X64</f>
        <v>0</v>
      </c>
      <c r="Y65" s="10">
        <f>Y64</f>
        <v>112194.52586195053</v>
      </c>
      <c r="Z65" s="10">
        <f>Z64</f>
        <v>310992.90694501775</v>
      </c>
      <c r="AA65" s="10"/>
      <c r="AB65" s="10"/>
      <c r="AC65" s="74"/>
      <c r="AD65" s="10"/>
      <c r="AE65" s="43"/>
      <c r="AK65" s="7"/>
      <c r="BC65" s="21"/>
      <c r="BD65" s="22"/>
      <c r="BF65" s="22"/>
      <c r="BG65" s="22"/>
      <c r="BI65" s="22"/>
      <c r="BJ65" s="22"/>
    </row>
    <row r="66" spans="1:62" x14ac:dyDescent="0.25">
      <c r="A66" s="11" t="s">
        <v>11</v>
      </c>
      <c r="I66" s="6">
        <f>(Z65-Z39)/Z39</f>
        <v>2.1099290694501773</v>
      </c>
      <c r="K66" s="6"/>
      <c r="N66" t="s">
        <v>71</v>
      </c>
      <c r="O66" s="2">
        <f>SUM(O40:O64)</f>
        <v>167478.28626041239</v>
      </c>
      <c r="P66" s="2"/>
      <c r="AB66" s="6"/>
      <c r="BF66" s="22"/>
    </row>
    <row r="67" spans="1:62" x14ac:dyDescent="0.25">
      <c r="A67" s="1" t="s">
        <v>12</v>
      </c>
      <c r="I67" s="12">
        <f>STDEV(AC40:AC64)</f>
        <v>0.10599829604852844</v>
      </c>
    </row>
    <row r="68" spans="1:62" x14ac:dyDescent="0.25">
      <c r="A68" s="1" t="s">
        <v>13</v>
      </c>
      <c r="I68" s="13">
        <f>((1+I66)^(1/I75))-1</f>
        <v>4.6429608334523031E-2</v>
      </c>
    </row>
    <row r="69" spans="1:62" x14ac:dyDescent="0.25">
      <c r="A69" s="1" t="s">
        <v>83</v>
      </c>
      <c r="I69" s="31">
        <f>J60</f>
        <v>32777.037248591369</v>
      </c>
      <c r="O69" s="2"/>
      <c r="P69" s="2"/>
    </row>
    <row r="70" spans="1:62" x14ac:dyDescent="0.25">
      <c r="A70" s="1" t="s">
        <v>84</v>
      </c>
      <c r="I70" s="32">
        <f>K60</f>
        <v>0.14329910664138412</v>
      </c>
    </row>
    <row r="71" spans="1:62" x14ac:dyDescent="0.25">
      <c r="A71" s="1" t="s">
        <v>43</v>
      </c>
      <c r="I71" s="2">
        <f>O66</f>
        <v>167478.28626041239</v>
      </c>
    </row>
    <row r="72" spans="1:62" x14ac:dyDescent="0.25">
      <c r="A72" s="3" t="s">
        <v>5</v>
      </c>
      <c r="B72" s="3"/>
      <c r="C72" s="3"/>
      <c r="D72" s="3"/>
      <c r="E72" s="3"/>
      <c r="F72" s="3"/>
      <c r="G72" s="3"/>
      <c r="H72" s="3"/>
      <c r="I72" s="33">
        <f>I65-Z65</f>
        <v>0</v>
      </c>
      <c r="Z72" s="2"/>
    </row>
    <row r="73" spans="1:62" x14ac:dyDescent="0.25">
      <c r="A73" s="3" t="s">
        <v>149</v>
      </c>
      <c r="B73" s="3"/>
      <c r="C73" s="3"/>
      <c r="D73" s="3"/>
      <c r="E73" s="3"/>
      <c r="F73" s="3"/>
      <c r="G73" s="3"/>
      <c r="H73" s="3"/>
      <c r="I73" s="33">
        <f>((SUM(AA40:AA64)))-(I65-I39)</f>
        <v>0</v>
      </c>
    </row>
    <row r="74" spans="1:62" x14ac:dyDescent="0.25">
      <c r="A74" s="3" t="s">
        <v>148</v>
      </c>
      <c r="B74" s="3"/>
      <c r="C74" s="3"/>
      <c r="D74" s="3"/>
      <c r="E74" s="3"/>
      <c r="F74" s="3"/>
      <c r="G74" s="3"/>
      <c r="H74" s="3"/>
      <c r="I74" s="33">
        <f>(SUM(O40:O64))-I71</f>
        <v>0</v>
      </c>
      <c r="Z74" s="73"/>
    </row>
    <row r="75" spans="1:62" x14ac:dyDescent="0.25">
      <c r="A75" s="3" t="s">
        <v>160</v>
      </c>
      <c r="B75" s="3"/>
      <c r="C75" s="3"/>
      <c r="D75" s="3"/>
      <c r="E75" s="3"/>
      <c r="F75" s="3"/>
      <c r="G75" s="3"/>
      <c r="H75" s="3"/>
      <c r="I75" s="75">
        <f>COUNTA(I40:I64)</f>
        <v>25</v>
      </c>
    </row>
    <row r="76" spans="1:62" x14ac:dyDescent="0.25">
      <c r="A76" s="1" t="s">
        <v>106</v>
      </c>
      <c r="B76" s="63"/>
      <c r="C76" s="63"/>
      <c r="D76" s="63"/>
      <c r="E76" s="63"/>
      <c r="G76" s="63"/>
      <c r="H76" s="63"/>
      <c r="I76" s="86">
        <f>(SUM(B65:G65)/I65)</f>
        <v>0.6</v>
      </c>
    </row>
    <row r="77" spans="1:62" x14ac:dyDescent="0.25">
      <c r="A77" s="1" t="s">
        <v>107</v>
      </c>
      <c r="B77" s="63"/>
      <c r="C77" s="63"/>
      <c r="D77" s="63"/>
      <c r="E77" s="63"/>
      <c r="G77" s="63"/>
      <c r="H77" s="63"/>
      <c r="I77" s="86">
        <f>(H65/I65)</f>
        <v>0.4</v>
      </c>
    </row>
    <row r="78" spans="1:62" x14ac:dyDescent="0.25">
      <c r="A78" s="3" t="s">
        <v>108</v>
      </c>
      <c r="I78" s="3">
        <f>100%-(I76+I77)</f>
        <v>0</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F7A-1F90-46E2-B7D2-E1997346F85C}">
  <dimension ref="A1:AP79"/>
  <sheetViews>
    <sheetView topLeftCell="A58" zoomScaleNormal="100" workbookViewId="0">
      <selection activeCell="B71" sqref="B71"/>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c r="N4" s="49">
        <f>'4.5% Withdrawals-No Rebalancing'!N4</f>
        <v>1993</v>
      </c>
      <c r="O4" s="50">
        <f>'4.5% Withdrawals-No Rebalancing'!O4</f>
        <v>0.03</v>
      </c>
      <c r="P4" s="44"/>
    </row>
    <row r="5" spans="1:16"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c r="N5" s="49">
        <f>'4.5% Withdrawals-No Rebalancing'!N5</f>
        <v>1994</v>
      </c>
      <c r="O5" s="50">
        <f>'4.5% Withdrawals-No Rebalancing'!O5</f>
        <v>2.8000000000000001E-2</v>
      </c>
      <c r="P5" s="44"/>
    </row>
    <row r="6" spans="1:16"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c r="N6" s="49">
        <f>'4.5% Withdrawals-No Rebalancing'!N6</f>
        <v>1995</v>
      </c>
      <c r="O6" s="50">
        <f>'4.5% Withdrawals-No Rebalancing'!O6</f>
        <v>2.5999999999999999E-2</v>
      </c>
      <c r="P6" s="44"/>
    </row>
    <row r="7" spans="1:16"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c r="N7" s="49">
        <f>'4.5% Withdrawals-No Rebalancing'!N7</f>
        <v>1996</v>
      </c>
      <c r="O7" s="50">
        <f>'4.5% Withdrawals-No Rebalancing'!O7</f>
        <v>2.5000000000000001E-2</v>
      </c>
      <c r="P7" s="44"/>
    </row>
    <row r="8" spans="1:16" x14ac:dyDescent="0.25">
      <c r="A8" s="17">
        <f>'Non-Rebalanced Portfolio'!A8</f>
        <v>1997</v>
      </c>
      <c r="B8" s="17">
        <f>'Non-Rebalanced Portfolio'!B8</f>
        <v>33.19</v>
      </c>
      <c r="C8" s="17">
        <f>'Non-Rebalanced Portfolio'!C8</f>
        <v>26.687000000000001</v>
      </c>
      <c r="D8" s="17"/>
      <c r="E8" s="17"/>
      <c r="F8" s="17">
        <f>'Non-Rebalanced Portfolio'!F8</f>
        <v>0</v>
      </c>
      <c r="G8" s="17"/>
      <c r="H8" s="17">
        <f>'Non-Rebalanced Portfolio'!H8</f>
        <v>9.44</v>
      </c>
      <c r="N8" s="49">
        <f>'4.5% Withdrawals-No Rebalancing'!N8</f>
        <v>1997</v>
      </c>
      <c r="O8" s="50">
        <f>'4.5% Withdrawals-No Rebalancing'!O8</f>
        <v>3.4000000000000002E-2</v>
      </c>
      <c r="P8" s="44"/>
    </row>
    <row r="9" spans="1:16" x14ac:dyDescent="0.25">
      <c r="A9" s="17">
        <f>'Non-Rebalanced Portfolio'!A9</f>
        <v>1998</v>
      </c>
      <c r="B9" s="17">
        <f>'Non-Rebalanced Portfolio'!B9</f>
        <v>28.66</v>
      </c>
      <c r="C9" s="17">
        <f>'Non-Rebalanced Portfolio'!C9</f>
        <v>8.3529999999999998</v>
      </c>
      <c r="D9" s="17"/>
      <c r="E9" s="17"/>
      <c r="F9" s="17">
        <f>'Non-Rebalanced Portfolio'!F9</f>
        <v>0</v>
      </c>
      <c r="G9" s="17"/>
      <c r="H9" s="17">
        <f>'Non-Rebalanced Portfolio'!H9</f>
        <v>8.58</v>
      </c>
      <c r="N9" s="49">
        <f>'4.5% Withdrawals-No Rebalancing'!N9</f>
        <v>1998</v>
      </c>
      <c r="O9" s="50">
        <f>'4.5% Withdrawals-No Rebalancing'!O9</f>
        <v>1.7000000000000001E-2</v>
      </c>
      <c r="P9" s="44"/>
    </row>
    <row r="10" spans="1:16" x14ac:dyDescent="0.25">
      <c r="A10" s="17">
        <f>'Non-Rebalanced Portfolio'!A10</f>
        <v>1999</v>
      </c>
      <c r="B10" s="17">
        <f>'Non-Rebalanced Portfolio'!B10</f>
        <v>21.07</v>
      </c>
      <c r="C10" s="17">
        <f>'Non-Rebalanced Portfolio'!C10</f>
        <v>0</v>
      </c>
      <c r="D10" s="17"/>
      <c r="E10" s="17"/>
      <c r="F10" s="17">
        <f>'Non-Rebalanced Portfolio'!F10</f>
        <v>0</v>
      </c>
      <c r="G10" s="17"/>
      <c r="H10" s="17">
        <f>'Non-Rebalanced Portfolio'!H10</f>
        <v>-0.76</v>
      </c>
      <c r="N10" s="49">
        <f>'4.5% Withdrawals-No Rebalancing'!N10</f>
        <v>1999</v>
      </c>
      <c r="O10" s="50">
        <f>'4.5% Withdrawals-No Rebalancing'!O10</f>
        <v>1.6E-2</v>
      </c>
      <c r="P10" s="44"/>
    </row>
    <row r="11" spans="1:16" x14ac:dyDescent="0.25">
      <c r="A11" s="17">
        <f>'Non-Rebalanced Portfolio'!A11</f>
        <v>2000</v>
      </c>
      <c r="B11" s="17">
        <f>'Non-Rebalanced Portfolio'!B11</f>
        <v>-9.06</v>
      </c>
      <c r="C11" s="17">
        <f>'Non-Rebalanced Portfolio'!C11</f>
        <v>0</v>
      </c>
      <c r="D11" s="17"/>
      <c r="E11" s="17"/>
      <c r="F11" s="17">
        <f>'Non-Rebalanced Portfolio'!F11</f>
        <v>0</v>
      </c>
      <c r="G11" s="17"/>
      <c r="H11" s="17">
        <f>'Non-Rebalanced Portfolio'!H11</f>
        <v>11.39</v>
      </c>
      <c r="N11" s="49">
        <f>'4.5% Withdrawals-No Rebalancing'!N11</f>
        <v>2000</v>
      </c>
      <c r="O11" s="50">
        <f>'4.5% Withdrawals-No Rebalancing'!O11</f>
        <v>2.7E-2</v>
      </c>
      <c r="P11" s="44"/>
    </row>
    <row r="12" spans="1:16" x14ac:dyDescent="0.25">
      <c r="A12" s="17">
        <f>'Non-Rebalanced Portfolio'!A12</f>
        <v>2001</v>
      </c>
      <c r="B12" s="17">
        <f>'Non-Rebalanced Portfolio'!B12</f>
        <v>-12.02</v>
      </c>
      <c r="C12" s="17">
        <f>'Non-Rebalanced Portfolio'!C12</f>
        <v>0</v>
      </c>
      <c r="D12" s="17"/>
      <c r="E12" s="17"/>
      <c r="F12" s="17">
        <f>'Non-Rebalanced Portfolio'!F12</f>
        <v>0</v>
      </c>
      <c r="G12" s="18">
        <f>'Non-Rebalanced Portfolio'!G12</f>
        <v>-20.152999999999999</v>
      </c>
      <c r="H12" s="17">
        <f>'Non-Rebalanced Portfolio'!H12</f>
        <v>8.43</v>
      </c>
      <c r="N12" s="49">
        <f>'4.5% Withdrawals-No Rebalancing'!N12</f>
        <v>2001</v>
      </c>
      <c r="O12" s="50">
        <f>'4.5% Withdrawals-No Rebalancing'!O12</f>
        <v>3.4000000000000002E-2</v>
      </c>
      <c r="P12" s="44"/>
    </row>
    <row r="13" spans="1:16" x14ac:dyDescent="0.25">
      <c r="A13" s="17">
        <f>'Non-Rebalanced Portfolio'!A13</f>
        <v>2002</v>
      </c>
      <c r="B13" s="17">
        <f>'Non-Rebalanced Portfolio'!B13</f>
        <v>-22.15</v>
      </c>
      <c r="C13" s="17">
        <f>'Non-Rebalanced Portfolio'!C13</f>
        <v>0</v>
      </c>
      <c r="D13" s="17"/>
      <c r="E13" s="17"/>
      <c r="F13" s="17"/>
      <c r="G13" s="18">
        <f>'Non-Rebalanced Portfolio'!G13</f>
        <v>-15.083</v>
      </c>
      <c r="H13" s="17">
        <f>'Non-Rebalanced Portfolio'!H13</f>
        <v>8.26</v>
      </c>
      <c r="N13" s="49">
        <f>'4.5% Withdrawals-No Rebalancing'!N13</f>
        <v>2002</v>
      </c>
      <c r="O13" s="50">
        <f>'4.5% Withdrawals-No Rebalancing'!O13</f>
        <v>1.6E-2</v>
      </c>
      <c r="P13" s="44"/>
    </row>
    <row r="14" spans="1:16" x14ac:dyDescent="0.25">
      <c r="A14" s="17">
        <f>'Non-Rebalanced Portfolio'!A14</f>
        <v>2003</v>
      </c>
      <c r="B14" s="17">
        <f>'Non-Rebalanced Portfolio'!B14</f>
        <v>28.5</v>
      </c>
      <c r="C14" s="17">
        <f>'Non-Rebalanced Portfolio'!C14</f>
        <v>0</v>
      </c>
      <c r="D14" s="18">
        <f>'Non-Rebalanced Portfolio'!D14</f>
        <v>34.142000000000003</v>
      </c>
      <c r="E14" s="18">
        <f>'Non-Rebalanced Portfolio'!E14</f>
        <v>45.628</v>
      </c>
      <c r="F14" s="17"/>
      <c r="G14" s="17">
        <f>'Non-Rebalanced Portfolio'!G14</f>
        <v>40.340000000000003</v>
      </c>
      <c r="H14" s="17">
        <f>'Non-Rebalanced Portfolio'!H14</f>
        <v>3.97</v>
      </c>
      <c r="N14" s="49">
        <f>'4.5% Withdrawals-No Rebalancing'!N14</f>
        <v>2003</v>
      </c>
      <c r="O14" s="50">
        <f>'4.5% Withdrawals-No Rebalancing'!O14</f>
        <v>2.5000000000000001E-2</v>
      </c>
      <c r="P14" s="44"/>
    </row>
    <row r="15" spans="1:16" x14ac:dyDescent="0.25">
      <c r="A15" s="17">
        <f>'Non-Rebalanced Portfolio'!A15</f>
        <v>2004</v>
      </c>
      <c r="B15" s="17">
        <f>'Non-Rebalanced Portfolio'!B15</f>
        <v>10.74</v>
      </c>
      <c r="C15" s="17"/>
      <c r="D15" s="18">
        <f>'Non-Rebalanced Portfolio'!D15</f>
        <v>20.353000000000002</v>
      </c>
      <c r="E15" s="18">
        <f>'Non-Rebalanced Portfolio'!E15</f>
        <v>19.896999999999998</v>
      </c>
      <c r="F15" s="17"/>
      <c r="G15" s="17">
        <f>'Non-Rebalanced Portfolio'!G15</f>
        <v>20.837</v>
      </c>
      <c r="H15" s="17">
        <f>'Non-Rebalanced Portfolio'!H15</f>
        <v>4.24</v>
      </c>
      <c r="N15" s="49">
        <f>'4.5% Withdrawals-No Rebalancing'!N15</f>
        <v>2004</v>
      </c>
      <c r="O15" s="50">
        <f>'4.5% Withdrawals-No Rebalancing'!O15</f>
        <v>0.02</v>
      </c>
      <c r="P15" s="44"/>
    </row>
    <row r="16" spans="1:16"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c r="N16" s="49">
        <f>'4.5% Withdrawals-No Rebalancing'!N16</f>
        <v>2005</v>
      </c>
      <c r="O16" s="50">
        <f>'4.5% Withdrawals-No Rebalancing'!O16</f>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9">
        <f>'4.5% Withdrawals-No Rebalancing'!N17</f>
        <v>2006</v>
      </c>
      <c r="O17" s="50">
        <f>'4.5% Withdrawals-No Rebalancing'!O17</f>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9">
        <f>'4.5% Withdrawals-No Rebalancing'!N18</f>
        <v>2007</v>
      </c>
      <c r="O18" s="50">
        <f>'4.5% Withdrawals-No Rebalancing'!O18</f>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9">
        <f>'4.5% Withdrawals-No Rebalancing'!N19</f>
        <v>2008</v>
      </c>
      <c r="O19" s="50">
        <f>'4.5% Withdrawals-No Rebalancing'!O19</f>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9">
        <f>'4.5% Withdrawals-No Rebalancing'!N20</f>
        <v>2009</v>
      </c>
      <c r="O20" s="50">
        <f>'4.5% Withdrawals-No Rebalancing'!O20</f>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9">
        <f>'4.5% Withdrawals-No Rebalancing'!N21</f>
        <v>2010</v>
      </c>
      <c r="O21" s="50">
        <f>'4.5% Withdrawals-No Rebalancing'!O21</f>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9">
        <f>'4.5% Withdrawals-No Rebalancing'!N22</f>
        <v>2011</v>
      </c>
      <c r="O22" s="50">
        <f>'4.5% Withdrawals-No Rebalancing'!O22</f>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9">
        <f>'4.5% Withdrawals-No Rebalancing'!N23</f>
        <v>2012</v>
      </c>
      <c r="O23" s="50">
        <f>'4.5% Withdrawals-No Rebalancing'!O23</f>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9">
        <f>'4.5% Withdrawals-No Rebalancing'!N24</f>
        <v>2013</v>
      </c>
      <c r="O24" s="50">
        <f>'4.5% Withdrawals-No Rebalancing'!O24</f>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9">
        <f>'4.5% Withdrawals-No Rebalancing'!N25</f>
        <v>2014</v>
      </c>
      <c r="O25" s="50">
        <f>'4.5% Withdrawals-No Rebalancing'!O25</f>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9">
        <f>'4.5% Withdrawals-No Rebalancing'!N26</f>
        <v>2015</v>
      </c>
      <c r="O26" s="50">
        <f>'4.5% Withdrawals-No Rebalancing'!O26</f>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9">
        <f>'4.5% Withdrawals-No Rebalancing'!N27</f>
        <v>2016</v>
      </c>
      <c r="O27" s="50">
        <f>'4.5% Withdrawals-No Rebalancing'!O27</f>
        <v>4.4000000000000003E-3</v>
      </c>
    </row>
    <row r="28" spans="1:16"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c r="N28" s="49">
        <f>'4.5% Withdrawals-No Rebalancing'!N28</f>
        <v>2017</v>
      </c>
      <c r="O28" s="50">
        <f>'4.5% Withdrawals-No Rebalancing'!O28</f>
        <v>1.7000000000000001E-2</v>
      </c>
    </row>
    <row r="29" spans="1:16"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9">
        <f>'4.5% Withdrawals-No Rebalancing'!N32</f>
        <v>2017</v>
      </c>
      <c r="O32" s="50">
        <f>'4.5% Withdrawals-No Rebalancing'!O32</f>
        <v>2.23E-2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42" x14ac:dyDescent="0.25">
      <c r="A36" s="20" t="s">
        <v>124</v>
      </c>
      <c r="N36" s="20" t="s">
        <v>25</v>
      </c>
      <c r="R36" s="20" t="s">
        <v>164</v>
      </c>
      <c r="AF36" s="20" t="s">
        <v>139</v>
      </c>
    </row>
    <row r="37" spans="1:4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112</v>
      </c>
      <c r="AP37" s="5" t="s">
        <v>113</v>
      </c>
    </row>
    <row r="38" spans="1:4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F38" t="s">
        <v>73</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71</v>
      </c>
      <c r="AO38" s="5" t="s">
        <v>113</v>
      </c>
      <c r="AP38" s="5" t="s">
        <v>88</v>
      </c>
    </row>
    <row r="39" spans="1:42" x14ac:dyDescent="0.25">
      <c r="A39" t="s">
        <v>72</v>
      </c>
      <c r="B39" s="2">
        <v>100000</v>
      </c>
      <c r="C39" s="2">
        <v>0</v>
      </c>
      <c r="F39" s="2">
        <v>0</v>
      </c>
      <c r="H39" s="2">
        <v>0</v>
      </c>
      <c r="I39" s="2">
        <f>SUM(B39:H39)</f>
        <v>100000</v>
      </c>
      <c r="N39" s="21"/>
      <c r="R39" t="str">
        <f>A39</f>
        <v>Stating Balance</v>
      </c>
      <c r="S39" s="2">
        <f>B39</f>
        <v>100000</v>
      </c>
      <c r="T39" s="2">
        <f t="shared" si="1"/>
        <v>0</v>
      </c>
      <c r="U39" s="2">
        <f t="shared" si="1"/>
        <v>0</v>
      </c>
      <c r="V39" s="2">
        <f t="shared" si="1"/>
        <v>0</v>
      </c>
      <c r="W39" s="2">
        <f t="shared" si="1"/>
        <v>0</v>
      </c>
      <c r="X39" s="2">
        <f t="shared" si="1"/>
        <v>0</v>
      </c>
      <c r="Y39" s="2">
        <f t="shared" si="1"/>
        <v>0</v>
      </c>
      <c r="Z39" s="2">
        <f t="shared" si="1"/>
        <v>100000</v>
      </c>
      <c r="AD39" s="2"/>
      <c r="AF39" s="21" t="s">
        <v>87</v>
      </c>
      <c r="AG39" s="6">
        <f t="shared" ref="AG39:AH54" si="3">S39/$Z39</f>
        <v>1</v>
      </c>
      <c r="AH39" s="6">
        <f t="shared" si="3"/>
        <v>0</v>
      </c>
      <c r="AI39" s="23">
        <v>0.2</v>
      </c>
      <c r="AJ39" s="23">
        <v>0.1</v>
      </c>
      <c r="AK39" s="6">
        <f t="shared" ref="AK39:AK48" si="4">W39/$Z39</f>
        <v>0</v>
      </c>
      <c r="AL39" s="23">
        <v>0.2</v>
      </c>
      <c r="AM39" s="6">
        <f>Y39/$Z39</f>
        <v>0</v>
      </c>
      <c r="AN39" s="6">
        <f>Z39/$Z39</f>
        <v>1</v>
      </c>
      <c r="AO39" s="24"/>
    </row>
    <row r="40" spans="1:42" x14ac:dyDescent="0.25">
      <c r="A40">
        <f t="shared" ref="A40:A64" si="5">A4</f>
        <v>1993</v>
      </c>
      <c r="B40" s="2">
        <f>B39*(1+(B4/100))</f>
        <v>109890</v>
      </c>
      <c r="C40" s="2">
        <f>C39*(1+(C4/100))</f>
        <v>0</v>
      </c>
      <c r="D40" s="2"/>
      <c r="E40" s="2"/>
      <c r="F40" s="2">
        <f>F39*(1+(F4/100))</f>
        <v>0</v>
      </c>
      <c r="G40" s="2"/>
      <c r="H40" s="2">
        <f>H39*(1+(H4/100))</f>
        <v>0</v>
      </c>
      <c r="I40" s="2">
        <f>SUM(B40:H40)</f>
        <v>109890</v>
      </c>
      <c r="J40" s="2">
        <f>I40-I39</f>
        <v>9890</v>
      </c>
      <c r="K40" s="6">
        <f>(J40/I39)</f>
        <v>9.8900000000000002E-2</v>
      </c>
      <c r="L40" s="7">
        <f>K40+1</f>
        <v>1.0989</v>
      </c>
      <c r="N40">
        <f>A40</f>
        <v>1993</v>
      </c>
      <c r="O40" s="2">
        <f>I40*O37</f>
        <v>4945.05</v>
      </c>
      <c r="P40" s="2"/>
      <c r="Q40" s="2"/>
      <c r="R40">
        <f>A40</f>
        <v>1993</v>
      </c>
      <c r="S40" s="2">
        <f>B40-($O40)</f>
        <v>104944.95</v>
      </c>
      <c r="T40" s="2">
        <f>C40</f>
        <v>0</v>
      </c>
      <c r="U40" s="2"/>
      <c r="V40" s="2"/>
      <c r="W40" s="2">
        <f>F40</f>
        <v>0</v>
      </c>
      <c r="X40" s="2"/>
      <c r="Y40" s="2">
        <f>H40</f>
        <v>0</v>
      </c>
      <c r="Z40" s="2">
        <f>SUM(S40:Y40)</f>
        <v>104944.95</v>
      </c>
      <c r="AA40" s="2">
        <f>Z40-Z39</f>
        <v>4944.9499999999971</v>
      </c>
      <c r="AB40" s="6">
        <f>(AA40/Z39)</f>
        <v>4.9449499999999973E-2</v>
      </c>
      <c r="AC40" s="7">
        <f>AB40+1</f>
        <v>1.0494494999999999</v>
      </c>
      <c r="AD40" s="2">
        <f>Z40-(I40-O40)</f>
        <v>0</v>
      </c>
      <c r="AF40">
        <f t="shared" ref="AF40:AF64" si="6">A40</f>
        <v>1993</v>
      </c>
      <c r="AG40" s="6">
        <f t="shared" si="3"/>
        <v>1</v>
      </c>
      <c r="AH40" s="6">
        <f t="shared" si="3"/>
        <v>0</v>
      </c>
      <c r="AI40" s="7"/>
      <c r="AJ40" s="7"/>
      <c r="AK40" s="6">
        <f t="shared" si="4"/>
        <v>0</v>
      </c>
      <c r="AL40" s="7"/>
      <c r="AM40" s="6">
        <f t="shared" ref="AM40:AM64" si="7">Y40/$Z40</f>
        <v>0</v>
      </c>
      <c r="AN40" s="6">
        <f>SUM(AG40:AM40)</f>
        <v>1</v>
      </c>
      <c r="AO40" s="7">
        <f>SUM(AG40:AL40)</f>
        <v>1</v>
      </c>
      <c r="AP40" s="7">
        <f>AN40-(AO40+AM40)</f>
        <v>0</v>
      </c>
    </row>
    <row r="41" spans="1:42" x14ac:dyDescent="0.25">
      <c r="A41">
        <f t="shared" si="5"/>
        <v>1994</v>
      </c>
      <c r="B41" s="2">
        <f t="shared" ref="B41:C56" si="8">S40*(1+(B5/100))</f>
        <v>106183.30041</v>
      </c>
      <c r="C41" s="2">
        <f t="shared" si="8"/>
        <v>0</v>
      </c>
      <c r="D41" s="2"/>
      <c r="E41" s="2"/>
      <c r="F41" s="2">
        <f t="shared" ref="F41:F48" si="9">W40*(1+(F5/100))</f>
        <v>0</v>
      </c>
      <c r="G41" s="2"/>
      <c r="H41" s="2">
        <f t="shared" ref="H41:H64" si="10">Y40*(1+(H5/100))</f>
        <v>0</v>
      </c>
      <c r="I41" s="2">
        <f t="shared" ref="I41:I64" si="11">SUM(B41:H41)</f>
        <v>106183.30041</v>
      </c>
      <c r="J41" s="2">
        <f t="shared" ref="J41:J64" si="12">I41-I40</f>
        <v>-3706.6995900000038</v>
      </c>
      <c r="K41" s="6">
        <f t="shared" ref="K41:K64" si="13">(J41/I40)</f>
        <v>-3.3731000000000032E-2</v>
      </c>
      <c r="L41" s="7">
        <f t="shared" ref="L41:L64" si="14">K41+1</f>
        <v>0.96626899999999993</v>
      </c>
      <c r="N41">
        <f t="shared" ref="N41:N64" si="15">A41</f>
        <v>1994</v>
      </c>
      <c r="O41" s="2">
        <f t="shared" ref="O41:O64" si="16">O40*(1+O5)</f>
        <v>5083.5114000000003</v>
      </c>
      <c r="P41" s="2"/>
      <c r="Q41" s="2"/>
      <c r="R41">
        <f t="shared" ref="R41:R64" si="17">A41</f>
        <v>1994</v>
      </c>
      <c r="S41" s="2">
        <f t="shared" ref="S41:S64" si="18">B41-($O41)</f>
        <v>101099.78900999999</v>
      </c>
      <c r="T41" s="2">
        <f t="shared" ref="T41:T50" si="19">C41</f>
        <v>0</v>
      </c>
      <c r="U41" s="2"/>
      <c r="V41" s="2"/>
      <c r="W41" s="2">
        <f t="shared" ref="W41:W48" si="20">F41</f>
        <v>0</v>
      </c>
      <c r="X41" s="2"/>
      <c r="Y41" s="2">
        <f t="shared" ref="Y41:Y64" si="21">H41</f>
        <v>0</v>
      </c>
      <c r="Z41" s="2">
        <f t="shared" ref="Z41:Z64" si="22">SUM(S41:Y41)</f>
        <v>101099.78900999999</v>
      </c>
      <c r="AA41" s="2">
        <f t="shared" ref="AA41:AA55" si="23">Z41-Z40</f>
        <v>-3845.1609900000039</v>
      </c>
      <c r="AB41" s="6">
        <f t="shared" ref="AB41:AB55" si="24">(AA41/Z40)</f>
        <v>-3.6639790575916271E-2</v>
      </c>
      <c r="AC41" s="7">
        <f t="shared" ref="AC41:AC64" si="25">AB41+1</f>
        <v>0.96336020942408374</v>
      </c>
      <c r="AD41" s="2">
        <f t="shared" ref="AD41:AD64" si="26">Z41-(I41-O41)</f>
        <v>0</v>
      </c>
      <c r="AF41">
        <f t="shared" si="6"/>
        <v>1994</v>
      </c>
      <c r="AG41" s="6">
        <f t="shared" si="3"/>
        <v>1</v>
      </c>
      <c r="AH41" s="6">
        <f t="shared" si="3"/>
        <v>0</v>
      </c>
      <c r="AI41" s="7"/>
      <c r="AJ41" s="7"/>
      <c r="AK41" s="6">
        <f t="shared" si="4"/>
        <v>0</v>
      </c>
      <c r="AL41" s="7"/>
      <c r="AM41" s="6">
        <f t="shared" si="7"/>
        <v>0</v>
      </c>
      <c r="AN41" s="6">
        <f t="shared" ref="AN41:AN64" si="27">SUM(AG41:AM41)</f>
        <v>1</v>
      </c>
      <c r="AO41" s="7">
        <f t="shared" ref="AO41:AO64" si="28">SUM(AG41:AL41)</f>
        <v>1</v>
      </c>
      <c r="AP41" s="7">
        <f t="shared" ref="AP41:AP64" si="29">AN41-(AO41+AM41)</f>
        <v>0</v>
      </c>
    </row>
    <row r="42" spans="1:42" x14ac:dyDescent="0.25">
      <c r="A42">
        <f t="shared" si="5"/>
        <v>1995</v>
      </c>
      <c r="B42" s="2">
        <f t="shared" si="8"/>
        <v>138961.65999424498</v>
      </c>
      <c r="C42" s="2">
        <f t="shared" si="8"/>
        <v>0</v>
      </c>
      <c r="D42" s="2"/>
      <c r="E42" s="2"/>
      <c r="F42" s="2">
        <f t="shared" si="9"/>
        <v>0</v>
      </c>
      <c r="G42" s="2"/>
      <c r="H42" s="2">
        <f t="shared" si="10"/>
        <v>0</v>
      </c>
      <c r="I42" s="2">
        <f t="shared" ref="I42:I48" si="30">SUM(B42:H42)</f>
        <v>138961.65999424498</v>
      </c>
      <c r="J42" s="2">
        <f t="shared" si="12"/>
        <v>32778.359584244987</v>
      </c>
      <c r="K42" s="6">
        <f t="shared" si="13"/>
        <v>0.30869599511109214</v>
      </c>
      <c r="L42" s="7">
        <f t="shared" si="14"/>
        <v>1.3086959951110921</v>
      </c>
      <c r="N42">
        <f t="shared" si="15"/>
        <v>1995</v>
      </c>
      <c r="O42" s="2">
        <f t="shared" si="16"/>
        <v>5215.6826964000002</v>
      </c>
      <c r="P42" s="2"/>
      <c r="Q42" s="2"/>
      <c r="R42">
        <f t="shared" si="17"/>
        <v>1995</v>
      </c>
      <c r="S42" s="2">
        <f t="shared" si="18"/>
        <v>133745.97729784498</v>
      </c>
      <c r="T42" s="2">
        <f t="shared" si="19"/>
        <v>0</v>
      </c>
      <c r="U42" s="2"/>
      <c r="V42" s="2"/>
      <c r="W42" s="2">
        <f t="shared" si="20"/>
        <v>0</v>
      </c>
      <c r="X42" s="2"/>
      <c r="Y42" s="2">
        <f t="shared" si="21"/>
        <v>0</v>
      </c>
      <c r="Z42" s="2">
        <f t="shared" si="22"/>
        <v>133745.97729784498</v>
      </c>
      <c r="AA42" s="2">
        <f t="shared" si="23"/>
        <v>32646.188287844983</v>
      </c>
      <c r="AB42" s="6">
        <f t="shared" si="24"/>
        <v>0.32291054815768094</v>
      </c>
      <c r="AC42" s="7">
        <f t="shared" si="25"/>
        <v>1.3229105481576808</v>
      </c>
      <c r="AD42" s="2">
        <f t="shared" si="26"/>
        <v>0</v>
      </c>
      <c r="AF42">
        <f t="shared" si="6"/>
        <v>1995</v>
      </c>
      <c r="AG42" s="6">
        <f t="shared" si="3"/>
        <v>1</v>
      </c>
      <c r="AH42" s="6">
        <f t="shared" si="3"/>
        <v>0</v>
      </c>
      <c r="AI42" s="7"/>
      <c r="AJ42" s="7"/>
      <c r="AK42" s="6">
        <f t="shared" si="4"/>
        <v>0</v>
      </c>
      <c r="AL42" s="7"/>
      <c r="AM42" s="6">
        <f t="shared" si="7"/>
        <v>0</v>
      </c>
      <c r="AN42" s="6">
        <f t="shared" si="27"/>
        <v>1</v>
      </c>
      <c r="AO42" s="7">
        <f t="shared" si="28"/>
        <v>1</v>
      </c>
      <c r="AP42" s="7">
        <f t="shared" si="29"/>
        <v>0</v>
      </c>
    </row>
    <row r="43" spans="1:42" x14ac:dyDescent="0.25">
      <c r="A43">
        <f t="shared" si="5"/>
        <v>1996</v>
      </c>
      <c r="B43" s="2">
        <f t="shared" si="8"/>
        <v>164347.05690359193</v>
      </c>
      <c r="C43" s="2">
        <f t="shared" si="8"/>
        <v>0</v>
      </c>
      <c r="D43" s="2"/>
      <c r="E43" s="2"/>
      <c r="F43" s="2">
        <f t="shared" si="9"/>
        <v>0</v>
      </c>
      <c r="G43" s="2"/>
      <c r="H43" s="2">
        <f t="shared" si="10"/>
        <v>0</v>
      </c>
      <c r="I43" s="2">
        <f t="shared" si="30"/>
        <v>164347.05690359193</v>
      </c>
      <c r="J43" s="2">
        <f t="shared" si="12"/>
        <v>25385.39690934695</v>
      </c>
      <c r="K43" s="6">
        <f t="shared" si="13"/>
        <v>0.18267914265271637</v>
      </c>
      <c r="L43" s="7">
        <f t="shared" si="14"/>
        <v>1.1826791426527163</v>
      </c>
      <c r="N43">
        <f t="shared" si="15"/>
        <v>1996</v>
      </c>
      <c r="O43" s="2">
        <f t="shared" si="16"/>
        <v>5346.0747638100001</v>
      </c>
      <c r="P43" s="2"/>
      <c r="Q43" s="2"/>
      <c r="R43">
        <f t="shared" si="17"/>
        <v>1996</v>
      </c>
      <c r="S43" s="2">
        <f t="shared" si="18"/>
        <v>159000.98213978193</v>
      </c>
      <c r="T43" s="2">
        <f t="shared" si="19"/>
        <v>0</v>
      </c>
      <c r="U43" s="2"/>
      <c r="V43" s="2"/>
      <c r="W43" s="2">
        <f t="shared" si="20"/>
        <v>0</v>
      </c>
      <c r="X43" s="2"/>
      <c r="Y43" s="2">
        <f t="shared" si="21"/>
        <v>0</v>
      </c>
      <c r="Z43" s="2">
        <f t="shared" si="22"/>
        <v>159000.98213978193</v>
      </c>
      <c r="AA43" s="2">
        <f t="shared" si="23"/>
        <v>25255.004841936956</v>
      </c>
      <c r="AB43" s="6">
        <f t="shared" si="24"/>
        <v>0.188828145355695</v>
      </c>
      <c r="AC43" s="7">
        <f t="shared" si="25"/>
        <v>1.188828145355695</v>
      </c>
      <c r="AD43" s="2">
        <f t="shared" si="26"/>
        <v>0</v>
      </c>
      <c r="AF43">
        <f t="shared" si="6"/>
        <v>1996</v>
      </c>
      <c r="AG43" s="6">
        <f t="shared" si="3"/>
        <v>1</v>
      </c>
      <c r="AH43" s="6">
        <f t="shared" si="3"/>
        <v>0</v>
      </c>
      <c r="AI43" s="7"/>
      <c r="AJ43" s="7"/>
      <c r="AK43" s="6">
        <f t="shared" si="4"/>
        <v>0</v>
      </c>
      <c r="AL43" s="7"/>
      <c r="AM43" s="6">
        <f t="shared" si="7"/>
        <v>0</v>
      </c>
      <c r="AN43" s="6">
        <f t="shared" si="27"/>
        <v>1</v>
      </c>
      <c r="AO43" s="7">
        <f t="shared" si="28"/>
        <v>1</v>
      </c>
      <c r="AP43" s="7">
        <f t="shared" si="29"/>
        <v>0</v>
      </c>
    </row>
    <row r="44" spans="1:42" x14ac:dyDescent="0.25">
      <c r="A44">
        <f t="shared" si="5"/>
        <v>1997</v>
      </c>
      <c r="B44" s="2">
        <f t="shared" si="8"/>
        <v>211773.40811197556</v>
      </c>
      <c r="C44" s="2">
        <f t="shared" si="8"/>
        <v>0</v>
      </c>
      <c r="D44" s="2"/>
      <c r="E44" s="2"/>
      <c r="F44" s="2">
        <f t="shared" si="9"/>
        <v>0</v>
      </c>
      <c r="G44" s="2"/>
      <c r="H44" s="2">
        <f t="shared" si="10"/>
        <v>0</v>
      </c>
      <c r="I44" s="2">
        <f t="shared" si="30"/>
        <v>211773.40811197556</v>
      </c>
      <c r="J44" s="2">
        <f t="shared" si="12"/>
        <v>47426.351208383625</v>
      </c>
      <c r="K44" s="6">
        <f t="shared" si="13"/>
        <v>0.28857438704366045</v>
      </c>
      <c r="L44" s="7">
        <f t="shared" si="14"/>
        <v>1.2885743870436603</v>
      </c>
      <c r="N44">
        <f t="shared" si="15"/>
        <v>1997</v>
      </c>
      <c r="O44" s="2">
        <f t="shared" si="16"/>
        <v>5527.8413057795406</v>
      </c>
      <c r="P44" s="2"/>
      <c r="Q44" s="2"/>
      <c r="R44">
        <f t="shared" si="17"/>
        <v>1997</v>
      </c>
      <c r="S44" s="2">
        <f t="shared" si="18"/>
        <v>206245.566806196</v>
      </c>
      <c r="T44" s="2">
        <f t="shared" si="19"/>
        <v>0</v>
      </c>
      <c r="U44" s="2"/>
      <c r="V44" s="2"/>
      <c r="W44" s="2">
        <f t="shared" si="20"/>
        <v>0</v>
      </c>
      <c r="X44" s="2"/>
      <c r="Y44" s="2">
        <f t="shared" si="21"/>
        <v>0</v>
      </c>
      <c r="Z44" s="2">
        <f t="shared" si="22"/>
        <v>206245.566806196</v>
      </c>
      <c r="AA44" s="2">
        <f t="shared" si="23"/>
        <v>47244.58466641407</v>
      </c>
      <c r="AB44" s="6">
        <f t="shared" si="24"/>
        <v>0.29713391722876353</v>
      </c>
      <c r="AC44" s="7">
        <f t="shared" si="25"/>
        <v>1.2971339172287635</v>
      </c>
      <c r="AD44" s="2">
        <f t="shared" si="26"/>
        <v>0</v>
      </c>
      <c r="AF44">
        <f t="shared" si="6"/>
        <v>1997</v>
      </c>
      <c r="AG44" s="6">
        <f t="shared" si="3"/>
        <v>1</v>
      </c>
      <c r="AH44" s="6">
        <f t="shared" si="3"/>
        <v>0</v>
      </c>
      <c r="AI44" s="7"/>
      <c r="AJ44" s="7"/>
      <c r="AK44" s="6">
        <f t="shared" si="4"/>
        <v>0</v>
      </c>
      <c r="AL44" s="7"/>
      <c r="AM44" s="6">
        <f t="shared" si="7"/>
        <v>0</v>
      </c>
      <c r="AN44" s="6">
        <f t="shared" si="27"/>
        <v>1</v>
      </c>
      <c r="AO44" s="7">
        <f t="shared" si="28"/>
        <v>1</v>
      </c>
      <c r="AP44" s="7">
        <f t="shared" si="29"/>
        <v>0</v>
      </c>
    </row>
    <row r="45" spans="1:42" x14ac:dyDescent="0.25">
      <c r="A45">
        <f t="shared" si="5"/>
        <v>1998</v>
      </c>
      <c r="B45" s="2">
        <f t="shared" si="8"/>
        <v>265355.54625285178</v>
      </c>
      <c r="C45" s="2">
        <f t="shared" si="8"/>
        <v>0</v>
      </c>
      <c r="D45" s="2"/>
      <c r="E45" s="2"/>
      <c r="F45" s="2">
        <f t="shared" si="9"/>
        <v>0</v>
      </c>
      <c r="G45" s="2"/>
      <c r="H45" s="2">
        <f t="shared" si="10"/>
        <v>0</v>
      </c>
      <c r="I45" s="2">
        <f t="shared" si="30"/>
        <v>265355.54625285178</v>
      </c>
      <c r="J45" s="2">
        <f t="shared" si="12"/>
        <v>53582.138140876224</v>
      </c>
      <c r="K45" s="6">
        <f t="shared" si="13"/>
        <v>0.25301636602337046</v>
      </c>
      <c r="L45" s="7">
        <f t="shared" si="14"/>
        <v>1.2530163660233704</v>
      </c>
      <c r="N45">
        <f t="shared" si="15"/>
        <v>1998</v>
      </c>
      <c r="O45" s="2">
        <f t="shared" si="16"/>
        <v>5621.8146079777925</v>
      </c>
      <c r="P45" s="2"/>
      <c r="Q45" s="2"/>
      <c r="R45">
        <f t="shared" si="17"/>
        <v>1998</v>
      </c>
      <c r="S45" s="2">
        <f t="shared" si="18"/>
        <v>259733.731644874</v>
      </c>
      <c r="T45" s="2">
        <f t="shared" si="19"/>
        <v>0</v>
      </c>
      <c r="U45" s="2"/>
      <c r="V45" s="2"/>
      <c r="W45" s="2">
        <f t="shared" si="20"/>
        <v>0</v>
      </c>
      <c r="X45" s="2"/>
      <c r="Y45" s="2">
        <f t="shared" si="21"/>
        <v>0</v>
      </c>
      <c r="Z45" s="2">
        <f t="shared" si="22"/>
        <v>259733.731644874</v>
      </c>
      <c r="AA45" s="2">
        <f t="shared" si="23"/>
        <v>53488.164838678</v>
      </c>
      <c r="AB45" s="6">
        <f t="shared" si="24"/>
        <v>0.25934213116415511</v>
      </c>
      <c r="AC45" s="7">
        <f t="shared" si="25"/>
        <v>1.2593421311641551</v>
      </c>
      <c r="AD45" s="2">
        <f t="shared" si="26"/>
        <v>0</v>
      </c>
      <c r="AF45">
        <f t="shared" si="6"/>
        <v>1998</v>
      </c>
      <c r="AG45" s="6">
        <f t="shared" si="3"/>
        <v>1</v>
      </c>
      <c r="AH45" s="6">
        <f t="shared" si="3"/>
        <v>0</v>
      </c>
      <c r="AI45" s="7"/>
      <c r="AJ45" s="7"/>
      <c r="AK45" s="6">
        <f t="shared" si="4"/>
        <v>0</v>
      </c>
      <c r="AL45" s="7"/>
      <c r="AM45" s="6">
        <f t="shared" si="7"/>
        <v>0</v>
      </c>
      <c r="AN45" s="6">
        <f t="shared" si="27"/>
        <v>1</v>
      </c>
      <c r="AO45" s="7">
        <f t="shared" si="28"/>
        <v>1</v>
      </c>
      <c r="AP45" s="7">
        <f t="shared" si="29"/>
        <v>0</v>
      </c>
    </row>
    <row r="46" spans="1:42" x14ac:dyDescent="0.25">
      <c r="A46">
        <f t="shared" si="5"/>
        <v>1999</v>
      </c>
      <c r="B46" s="2">
        <f t="shared" si="8"/>
        <v>314459.62890244898</v>
      </c>
      <c r="C46" s="2">
        <f t="shared" si="8"/>
        <v>0</v>
      </c>
      <c r="D46" s="2"/>
      <c r="E46" s="2"/>
      <c r="F46" s="2">
        <f t="shared" si="9"/>
        <v>0</v>
      </c>
      <c r="G46" s="2"/>
      <c r="H46" s="2">
        <f t="shared" si="10"/>
        <v>0</v>
      </c>
      <c r="I46" s="2">
        <f t="shared" si="30"/>
        <v>314459.62890244898</v>
      </c>
      <c r="J46" s="2">
        <f t="shared" si="12"/>
        <v>49104.0826495972</v>
      </c>
      <c r="K46" s="6">
        <f t="shared" si="13"/>
        <v>0.18505014627735325</v>
      </c>
      <c r="L46" s="7">
        <f t="shared" si="14"/>
        <v>1.1850501462773533</v>
      </c>
      <c r="N46">
        <f t="shared" si="15"/>
        <v>1999</v>
      </c>
      <c r="O46" s="2">
        <f t="shared" si="16"/>
        <v>5711.7636417054373</v>
      </c>
      <c r="P46" s="2"/>
      <c r="Q46" s="2"/>
      <c r="R46">
        <f t="shared" si="17"/>
        <v>1999</v>
      </c>
      <c r="S46" s="2">
        <f t="shared" si="18"/>
        <v>308747.86526074354</v>
      </c>
      <c r="T46" s="2">
        <f t="shared" si="19"/>
        <v>0</v>
      </c>
      <c r="U46" s="2"/>
      <c r="V46" s="2"/>
      <c r="W46" s="2">
        <f t="shared" si="20"/>
        <v>0</v>
      </c>
      <c r="X46" s="2"/>
      <c r="Y46" s="2">
        <f t="shared" si="21"/>
        <v>0</v>
      </c>
      <c r="Z46" s="2">
        <f t="shared" si="22"/>
        <v>308747.86526074354</v>
      </c>
      <c r="AA46" s="2">
        <f t="shared" si="23"/>
        <v>49014.133615869534</v>
      </c>
      <c r="AB46" s="6">
        <f t="shared" si="24"/>
        <v>0.18870915727990642</v>
      </c>
      <c r="AC46" s="7">
        <f t="shared" si="25"/>
        <v>1.1887091572799064</v>
      </c>
      <c r="AD46" s="2">
        <f t="shared" si="26"/>
        <v>0</v>
      </c>
      <c r="AF46">
        <f t="shared" si="6"/>
        <v>1999</v>
      </c>
      <c r="AG46" s="6">
        <f t="shared" si="3"/>
        <v>1</v>
      </c>
      <c r="AH46" s="6">
        <f t="shared" si="3"/>
        <v>0</v>
      </c>
      <c r="AI46" s="7"/>
      <c r="AJ46" s="7"/>
      <c r="AK46" s="6">
        <f t="shared" si="4"/>
        <v>0</v>
      </c>
      <c r="AL46" s="7"/>
      <c r="AM46" s="6">
        <f t="shared" si="7"/>
        <v>0</v>
      </c>
      <c r="AN46" s="6">
        <f t="shared" si="27"/>
        <v>1</v>
      </c>
      <c r="AO46" s="7">
        <f t="shared" si="28"/>
        <v>1</v>
      </c>
      <c r="AP46" s="7">
        <f t="shared" si="29"/>
        <v>0</v>
      </c>
    </row>
    <row r="47" spans="1:42" x14ac:dyDescent="0.25">
      <c r="A47">
        <f t="shared" si="5"/>
        <v>2000</v>
      </c>
      <c r="B47" s="2">
        <f t="shared" si="8"/>
        <v>280775.30866812018</v>
      </c>
      <c r="C47" s="2">
        <f t="shared" si="8"/>
        <v>0</v>
      </c>
      <c r="D47" s="2"/>
      <c r="E47" s="2"/>
      <c r="F47" s="2">
        <f t="shared" si="9"/>
        <v>0</v>
      </c>
      <c r="G47" s="2"/>
      <c r="H47" s="2">
        <f t="shared" si="10"/>
        <v>0</v>
      </c>
      <c r="I47" s="2">
        <f t="shared" si="30"/>
        <v>280775.30866812018</v>
      </c>
      <c r="J47" s="2">
        <f t="shared" si="12"/>
        <v>-33684.320234328799</v>
      </c>
      <c r="K47" s="6">
        <f t="shared" si="13"/>
        <v>-0.10711810718563902</v>
      </c>
      <c r="L47" s="7">
        <f t="shared" si="14"/>
        <v>0.89288189281436092</v>
      </c>
      <c r="N47">
        <f t="shared" si="15"/>
        <v>2000</v>
      </c>
      <c r="O47" s="2">
        <f t="shared" si="16"/>
        <v>5865.9812600314835</v>
      </c>
      <c r="P47" s="2"/>
      <c r="Q47" s="2"/>
      <c r="R47">
        <f t="shared" si="17"/>
        <v>2000</v>
      </c>
      <c r="S47" s="2">
        <f t="shared" si="18"/>
        <v>274909.32740808872</v>
      </c>
      <c r="T47" s="2">
        <f t="shared" si="19"/>
        <v>0</v>
      </c>
      <c r="U47" s="2"/>
      <c r="V47" s="2"/>
      <c r="W47" s="2">
        <f t="shared" si="20"/>
        <v>0</v>
      </c>
      <c r="X47" s="2"/>
      <c r="Y47" s="2">
        <f t="shared" si="21"/>
        <v>0</v>
      </c>
      <c r="Z47" s="2">
        <f t="shared" si="22"/>
        <v>274909.32740808872</v>
      </c>
      <c r="AA47" s="2">
        <f t="shared" si="23"/>
        <v>-33838.537852654816</v>
      </c>
      <c r="AB47" s="6">
        <f t="shared" si="24"/>
        <v>-0.10959926095060614</v>
      </c>
      <c r="AC47" s="7">
        <f t="shared" si="25"/>
        <v>0.89040073904939387</v>
      </c>
      <c r="AD47" s="2">
        <f t="shared" si="26"/>
        <v>0</v>
      </c>
      <c r="AF47">
        <f t="shared" si="6"/>
        <v>2000</v>
      </c>
      <c r="AG47" s="6">
        <f t="shared" si="3"/>
        <v>1</v>
      </c>
      <c r="AH47" s="6">
        <f t="shared" si="3"/>
        <v>0</v>
      </c>
      <c r="AI47" s="7"/>
      <c r="AJ47" s="7"/>
      <c r="AK47" s="6">
        <f t="shared" si="4"/>
        <v>0</v>
      </c>
      <c r="AL47" s="7"/>
      <c r="AM47" s="6">
        <f t="shared" si="7"/>
        <v>0</v>
      </c>
      <c r="AN47" s="6">
        <f t="shared" si="27"/>
        <v>1</v>
      </c>
      <c r="AO47" s="7">
        <f t="shared" si="28"/>
        <v>1</v>
      </c>
      <c r="AP47" s="7">
        <f t="shared" si="29"/>
        <v>0</v>
      </c>
    </row>
    <row r="48" spans="1:42" x14ac:dyDescent="0.25">
      <c r="A48">
        <f t="shared" si="5"/>
        <v>2001</v>
      </c>
      <c r="B48" s="2">
        <f t="shared" si="8"/>
        <v>241865.22625363647</v>
      </c>
      <c r="C48" s="2">
        <f t="shared" si="8"/>
        <v>0</v>
      </c>
      <c r="D48" s="2"/>
      <c r="E48" s="2"/>
      <c r="F48" s="2">
        <f t="shared" si="9"/>
        <v>0</v>
      </c>
      <c r="G48" s="2"/>
      <c r="H48" s="2">
        <f t="shared" si="10"/>
        <v>0</v>
      </c>
      <c r="I48" s="2">
        <f t="shared" si="30"/>
        <v>241865.22625363647</v>
      </c>
      <c r="J48" s="2">
        <f t="shared" si="12"/>
        <v>-38910.08241448371</v>
      </c>
      <c r="K48" s="6">
        <f t="shared" si="13"/>
        <v>-0.1385808552719851</v>
      </c>
      <c r="L48" s="7">
        <f t="shared" si="14"/>
        <v>0.86141914472801484</v>
      </c>
      <c r="N48">
        <f t="shared" si="15"/>
        <v>2001</v>
      </c>
      <c r="O48" s="2">
        <f t="shared" si="16"/>
        <v>6065.4246228725542</v>
      </c>
      <c r="P48" s="2"/>
      <c r="Q48" s="2"/>
      <c r="R48">
        <f t="shared" si="17"/>
        <v>2001</v>
      </c>
      <c r="S48" s="2">
        <f t="shared" si="18"/>
        <v>235799.80163076392</v>
      </c>
      <c r="T48" s="2">
        <f t="shared" si="19"/>
        <v>0</v>
      </c>
      <c r="U48" s="2"/>
      <c r="V48" s="2"/>
      <c r="W48" s="2">
        <f t="shared" si="20"/>
        <v>0</v>
      </c>
      <c r="X48" s="2"/>
      <c r="Y48" s="2">
        <f t="shared" si="21"/>
        <v>0</v>
      </c>
      <c r="Z48" s="2">
        <f t="shared" si="22"/>
        <v>235799.80163076392</v>
      </c>
      <c r="AA48" s="2">
        <f t="shared" si="23"/>
        <v>-39109.525777324801</v>
      </c>
      <c r="AB48" s="6">
        <f t="shared" si="24"/>
        <v>-0.14226336423743355</v>
      </c>
      <c r="AC48" s="7">
        <f t="shared" si="25"/>
        <v>0.85773663576256642</v>
      </c>
      <c r="AD48" s="2">
        <f t="shared" si="26"/>
        <v>0</v>
      </c>
      <c r="AF48">
        <f t="shared" si="6"/>
        <v>2001</v>
      </c>
      <c r="AG48" s="6">
        <f t="shared" si="3"/>
        <v>1</v>
      </c>
      <c r="AH48" s="6">
        <f t="shared" si="3"/>
        <v>0</v>
      </c>
      <c r="AI48" s="7"/>
      <c r="AJ48" s="7"/>
      <c r="AK48" s="6">
        <f t="shared" si="4"/>
        <v>0</v>
      </c>
      <c r="AL48" s="6"/>
      <c r="AM48" s="6">
        <f t="shared" si="7"/>
        <v>0</v>
      </c>
      <c r="AN48" s="6">
        <f t="shared" si="27"/>
        <v>1</v>
      </c>
      <c r="AO48" s="7">
        <f t="shared" si="28"/>
        <v>1</v>
      </c>
      <c r="AP48" s="7">
        <f t="shared" si="29"/>
        <v>0</v>
      </c>
    </row>
    <row r="49" spans="1:42" x14ac:dyDescent="0.25">
      <c r="A49">
        <f t="shared" si="5"/>
        <v>2002</v>
      </c>
      <c r="B49" s="2">
        <f t="shared" si="8"/>
        <v>183570.1455695497</v>
      </c>
      <c r="C49" s="2">
        <f t="shared" si="8"/>
        <v>0</v>
      </c>
      <c r="D49" s="2"/>
      <c r="E49" s="2"/>
      <c r="F49" s="2"/>
      <c r="G49" s="2">
        <f>W48*(1+(G13/100))</f>
        <v>0</v>
      </c>
      <c r="H49" s="2">
        <f t="shared" si="10"/>
        <v>0</v>
      </c>
      <c r="I49" s="2">
        <f t="shared" si="11"/>
        <v>183570.1455695497</v>
      </c>
      <c r="J49" s="2">
        <f>I49-I48</f>
        <v>-58295.080684086774</v>
      </c>
      <c r="K49" s="6">
        <f>(J49/I48)</f>
        <v>-0.2410229927925007</v>
      </c>
      <c r="L49" s="7">
        <f t="shared" si="14"/>
        <v>0.75897700720749928</v>
      </c>
      <c r="N49">
        <f t="shared" si="15"/>
        <v>2002</v>
      </c>
      <c r="O49" s="2">
        <f t="shared" si="16"/>
        <v>6162.4714168385153</v>
      </c>
      <c r="P49" s="2"/>
      <c r="Q49" s="2"/>
      <c r="R49">
        <f t="shared" si="17"/>
        <v>2002</v>
      </c>
      <c r="S49" s="2">
        <f t="shared" si="18"/>
        <v>177407.67415271117</v>
      </c>
      <c r="T49" s="2">
        <f t="shared" si="19"/>
        <v>0</v>
      </c>
      <c r="U49" s="2"/>
      <c r="V49" s="2"/>
      <c r="W49" s="2"/>
      <c r="X49" s="2">
        <f>G49</f>
        <v>0</v>
      </c>
      <c r="Y49" s="2">
        <f t="shared" si="21"/>
        <v>0</v>
      </c>
      <c r="Z49" s="2">
        <f t="shared" si="22"/>
        <v>177407.67415271117</v>
      </c>
      <c r="AA49" s="2">
        <f>Z49-Z48</f>
        <v>-58392.127478052746</v>
      </c>
      <c r="AB49" s="6">
        <f>(AA49/Z48)</f>
        <v>-0.24763433673064864</v>
      </c>
      <c r="AC49" s="7">
        <f t="shared" si="25"/>
        <v>0.75236566326935139</v>
      </c>
      <c r="AD49" s="2">
        <f t="shared" si="26"/>
        <v>0</v>
      </c>
      <c r="AF49">
        <f t="shared" si="6"/>
        <v>2002</v>
      </c>
      <c r="AG49" s="6">
        <f t="shared" si="3"/>
        <v>1</v>
      </c>
      <c r="AH49" s="6">
        <f t="shared" si="3"/>
        <v>0</v>
      </c>
      <c r="AI49" s="7"/>
      <c r="AJ49" s="7"/>
      <c r="AK49" s="6"/>
      <c r="AL49" s="6">
        <f t="shared" ref="AL49:AL64" si="31">X49/$Z49</f>
        <v>0</v>
      </c>
      <c r="AM49" s="6">
        <f t="shared" si="7"/>
        <v>0</v>
      </c>
      <c r="AN49" s="6">
        <f t="shared" si="27"/>
        <v>1</v>
      </c>
      <c r="AO49" s="7">
        <f t="shared" si="28"/>
        <v>1</v>
      </c>
      <c r="AP49" s="7">
        <f t="shared" si="29"/>
        <v>0</v>
      </c>
    </row>
    <row r="50" spans="1:42" x14ac:dyDescent="0.25">
      <c r="A50">
        <f t="shared" si="5"/>
        <v>2003</v>
      </c>
      <c r="B50" s="2">
        <f t="shared" si="8"/>
        <v>227968.86128623385</v>
      </c>
      <c r="C50" s="2">
        <f t="shared" si="8"/>
        <v>0</v>
      </c>
      <c r="D50" s="2"/>
      <c r="E50" s="2"/>
      <c r="F50" s="2"/>
      <c r="G50" s="2">
        <f t="shared" ref="G50:G64" si="32">X49*(1+(G14/100))</f>
        <v>0</v>
      </c>
      <c r="H50" s="2">
        <f t="shared" si="10"/>
        <v>0</v>
      </c>
      <c r="I50" s="2">
        <f t="shared" si="11"/>
        <v>227968.86128623385</v>
      </c>
      <c r="J50" s="2">
        <f>I50-I49</f>
        <v>44398.71571668415</v>
      </c>
      <c r="K50" s="6">
        <f>(J50/I49)</f>
        <v>0.24186239858846054</v>
      </c>
      <c r="L50" s="7">
        <f t="shared" si="14"/>
        <v>1.2418623985884605</v>
      </c>
      <c r="N50">
        <f t="shared" si="15"/>
        <v>2003</v>
      </c>
      <c r="O50" s="2">
        <f t="shared" si="16"/>
        <v>6316.5332022594775</v>
      </c>
      <c r="P50" s="2"/>
      <c r="Q50" s="2"/>
      <c r="R50">
        <f t="shared" si="17"/>
        <v>2003</v>
      </c>
      <c r="S50" s="2">
        <f t="shared" si="18"/>
        <v>221652.32808397437</v>
      </c>
      <c r="T50" s="2">
        <f t="shared" si="19"/>
        <v>0</v>
      </c>
      <c r="U50" s="2"/>
      <c r="V50" s="2"/>
      <c r="W50" s="2"/>
      <c r="X50" s="2">
        <f t="shared" ref="X50:X64" si="33">G50</f>
        <v>0</v>
      </c>
      <c r="Y50" s="2">
        <f t="shared" si="21"/>
        <v>0</v>
      </c>
      <c r="Z50" s="2">
        <f t="shared" si="22"/>
        <v>221652.32808397437</v>
      </c>
      <c r="AA50" s="2">
        <f>Z50-Z49</f>
        <v>44244.653931263194</v>
      </c>
      <c r="AB50" s="6">
        <f>(AA50/Z49)</f>
        <v>0.24939537786385574</v>
      </c>
      <c r="AC50" s="7">
        <f t="shared" si="25"/>
        <v>1.2493953778638558</v>
      </c>
      <c r="AD50" s="2">
        <f t="shared" si="26"/>
        <v>0</v>
      </c>
      <c r="AF50">
        <f t="shared" si="6"/>
        <v>2003</v>
      </c>
      <c r="AG50" s="6">
        <f t="shared" si="3"/>
        <v>1</v>
      </c>
      <c r="AH50" s="6">
        <f t="shared" si="3"/>
        <v>0</v>
      </c>
      <c r="AI50" s="7"/>
      <c r="AJ50" s="7"/>
      <c r="AK50" s="7"/>
      <c r="AL50" s="6">
        <f t="shared" si="31"/>
        <v>0</v>
      </c>
      <c r="AM50" s="6">
        <f t="shared" si="7"/>
        <v>0</v>
      </c>
      <c r="AN50" s="6">
        <f t="shared" si="27"/>
        <v>1</v>
      </c>
      <c r="AO50" s="7">
        <f t="shared" si="28"/>
        <v>1</v>
      </c>
      <c r="AP50" s="7">
        <f t="shared" si="29"/>
        <v>0</v>
      </c>
    </row>
    <row r="51" spans="1:42" x14ac:dyDescent="0.25">
      <c r="A51">
        <f t="shared" si="5"/>
        <v>2004</v>
      </c>
      <c r="B51" s="2">
        <f t="shared" si="8"/>
        <v>245457.7881201932</v>
      </c>
      <c r="C51" s="2"/>
      <c r="D51" s="2">
        <f>($T50*0.67)*(1+(D15/100))</f>
        <v>0</v>
      </c>
      <c r="E51" s="2">
        <f>($T50*0.33)*(1+(E15/100))</f>
        <v>0</v>
      </c>
      <c r="F51" s="2"/>
      <c r="G51" s="2">
        <f t="shared" si="32"/>
        <v>0</v>
      </c>
      <c r="H51" s="2">
        <f t="shared" si="10"/>
        <v>0</v>
      </c>
      <c r="I51" s="2">
        <f t="shared" si="11"/>
        <v>245457.7881201932</v>
      </c>
      <c r="J51" s="2">
        <f t="shared" si="12"/>
        <v>17488.926833959355</v>
      </c>
      <c r="K51" s="6">
        <f t="shared" si="13"/>
        <v>7.6716296845473791E-2</v>
      </c>
      <c r="L51" s="7">
        <f t="shared" si="14"/>
        <v>1.0767162968454738</v>
      </c>
      <c r="N51">
        <f t="shared" si="15"/>
        <v>2004</v>
      </c>
      <c r="O51" s="2">
        <f t="shared" si="16"/>
        <v>6442.8638663046668</v>
      </c>
      <c r="P51" s="2"/>
      <c r="Q51" s="2"/>
      <c r="R51">
        <f t="shared" si="17"/>
        <v>2004</v>
      </c>
      <c r="S51" s="2">
        <f t="shared" si="18"/>
        <v>239014.92425388854</v>
      </c>
      <c r="T51" s="2"/>
      <c r="U51" s="2">
        <f>D51</f>
        <v>0</v>
      </c>
      <c r="V51" s="2">
        <f>E51</f>
        <v>0</v>
      </c>
      <c r="W51" s="2"/>
      <c r="X51" s="2">
        <f t="shared" si="33"/>
        <v>0</v>
      </c>
      <c r="Y51" s="2">
        <f t="shared" si="21"/>
        <v>0</v>
      </c>
      <c r="Z51" s="2">
        <f t="shared" si="22"/>
        <v>239014.92425388854</v>
      </c>
      <c r="AA51" s="2">
        <f t="shared" si="23"/>
        <v>17362.596169914177</v>
      </c>
      <c r="AB51" s="6">
        <f t="shared" si="24"/>
        <v>7.8332568486879361E-2</v>
      </c>
      <c r="AC51" s="7">
        <f t="shared" si="25"/>
        <v>1.0783325684868794</v>
      </c>
      <c r="AD51" s="2">
        <f t="shared" si="26"/>
        <v>0</v>
      </c>
      <c r="AF51">
        <f t="shared" si="6"/>
        <v>2004</v>
      </c>
      <c r="AG51" s="6">
        <f t="shared" si="3"/>
        <v>1</v>
      </c>
      <c r="AH51" s="7"/>
      <c r="AI51" s="6">
        <f>U51/$Z51</f>
        <v>0</v>
      </c>
      <c r="AJ51" s="6">
        <f>V51/$Z51</f>
        <v>0</v>
      </c>
      <c r="AK51" s="7"/>
      <c r="AL51" s="6">
        <f t="shared" si="31"/>
        <v>0</v>
      </c>
      <c r="AM51" s="6">
        <f t="shared" si="7"/>
        <v>0</v>
      </c>
      <c r="AN51" s="6">
        <f t="shared" si="27"/>
        <v>1</v>
      </c>
      <c r="AO51" s="7">
        <f t="shared" si="28"/>
        <v>1</v>
      </c>
      <c r="AP51" s="7">
        <f t="shared" si="29"/>
        <v>0</v>
      </c>
    </row>
    <row r="52" spans="1:42" x14ac:dyDescent="0.25">
      <c r="A52">
        <f t="shared" si="5"/>
        <v>2005</v>
      </c>
      <c r="B52" s="2">
        <f t="shared" si="8"/>
        <v>250415.93614079905</v>
      </c>
      <c r="C52" s="2"/>
      <c r="D52" s="2">
        <f t="shared" ref="D52:E64" si="34">U51*(1+(D16/100))</f>
        <v>0</v>
      </c>
      <c r="E52" s="2">
        <f t="shared" si="34"/>
        <v>0</v>
      </c>
      <c r="F52" s="2"/>
      <c r="G52" s="2">
        <f t="shared" si="32"/>
        <v>0</v>
      </c>
      <c r="H52" s="2">
        <f t="shared" si="10"/>
        <v>0</v>
      </c>
      <c r="I52" s="2">
        <f t="shared" si="11"/>
        <v>250415.93614079905</v>
      </c>
      <c r="J52" s="2">
        <f t="shared" si="12"/>
        <v>4958.1480206058477</v>
      </c>
      <c r="K52" s="6">
        <f t="shared" si="13"/>
        <v>2.0199595452143459E-2</v>
      </c>
      <c r="L52" s="7">
        <f t="shared" si="14"/>
        <v>1.0201995954521434</v>
      </c>
      <c r="N52">
        <f t="shared" si="15"/>
        <v>2005</v>
      </c>
      <c r="O52" s="2">
        <f t="shared" si="16"/>
        <v>6655.4783738927199</v>
      </c>
      <c r="P52" s="2"/>
      <c r="Q52" s="2"/>
      <c r="R52">
        <f t="shared" si="17"/>
        <v>2005</v>
      </c>
      <c r="S52" s="2">
        <f t="shared" si="18"/>
        <v>243760.45776690633</v>
      </c>
      <c r="T52" s="2"/>
      <c r="U52" s="2">
        <f t="shared" ref="U52:U64" si="35">D52</f>
        <v>0</v>
      </c>
      <c r="V52" s="2">
        <f t="shared" ref="V52:V64" si="36">E52</f>
        <v>0</v>
      </c>
      <c r="W52" s="2"/>
      <c r="X52" s="2">
        <f t="shared" si="33"/>
        <v>0</v>
      </c>
      <c r="Y52" s="2">
        <f t="shared" si="21"/>
        <v>0</v>
      </c>
      <c r="Z52" s="2">
        <f t="shared" si="22"/>
        <v>243760.45776690633</v>
      </c>
      <c r="AA52" s="2">
        <f t="shared" si="23"/>
        <v>4745.5335130177846</v>
      </c>
      <c r="AB52" s="6">
        <f t="shared" si="24"/>
        <v>1.9854548948487174E-2</v>
      </c>
      <c r="AC52" s="7">
        <f t="shared" si="25"/>
        <v>1.0198545489484871</v>
      </c>
      <c r="AD52" s="2">
        <f t="shared" si="26"/>
        <v>0</v>
      </c>
      <c r="AF52">
        <f t="shared" si="6"/>
        <v>2005</v>
      </c>
      <c r="AG52" s="6">
        <f t="shared" si="3"/>
        <v>1</v>
      </c>
      <c r="AH52" s="7"/>
      <c r="AI52" s="6">
        <f t="shared" ref="AI52:AJ64" si="37">U52/$Z52</f>
        <v>0</v>
      </c>
      <c r="AJ52" s="6">
        <f t="shared" si="37"/>
        <v>0</v>
      </c>
      <c r="AK52" s="7"/>
      <c r="AL52" s="6">
        <f t="shared" si="31"/>
        <v>0</v>
      </c>
      <c r="AM52" s="6">
        <f t="shared" si="7"/>
        <v>0</v>
      </c>
      <c r="AN52" s="6">
        <f t="shared" si="27"/>
        <v>1</v>
      </c>
      <c r="AO52" s="7">
        <f t="shared" si="28"/>
        <v>1</v>
      </c>
      <c r="AP52" s="7">
        <f t="shared" si="29"/>
        <v>0</v>
      </c>
    </row>
    <row r="53" spans="1:42" x14ac:dyDescent="0.25">
      <c r="A53">
        <f t="shared" si="5"/>
        <v>2006</v>
      </c>
      <c r="B53" s="2">
        <f t="shared" si="8"/>
        <v>281884.59336165048</v>
      </c>
      <c r="C53" s="2"/>
      <c r="D53" s="2">
        <f t="shared" si="34"/>
        <v>0</v>
      </c>
      <c r="E53" s="2">
        <f t="shared" si="34"/>
        <v>0</v>
      </c>
      <c r="F53" s="2"/>
      <c r="G53" s="2">
        <f t="shared" si="32"/>
        <v>0</v>
      </c>
      <c r="H53" s="2">
        <f t="shared" si="10"/>
        <v>0</v>
      </c>
      <c r="I53" s="2">
        <f t="shared" si="11"/>
        <v>281884.59336165048</v>
      </c>
      <c r="J53" s="2">
        <f t="shared" si="12"/>
        <v>31468.657220851426</v>
      </c>
      <c r="K53" s="6">
        <f t="shared" si="13"/>
        <v>0.12566555350198574</v>
      </c>
      <c r="L53" s="7">
        <f t="shared" si="14"/>
        <v>1.1256655535019857</v>
      </c>
      <c r="N53">
        <f t="shared" si="15"/>
        <v>2006</v>
      </c>
      <c r="O53" s="2">
        <f t="shared" si="16"/>
        <v>6875.109160231179</v>
      </c>
      <c r="P53" s="2"/>
      <c r="Q53" s="2"/>
      <c r="R53">
        <f t="shared" si="17"/>
        <v>2006</v>
      </c>
      <c r="S53" s="2">
        <f t="shared" si="18"/>
        <v>275009.48420141928</v>
      </c>
      <c r="T53" s="2"/>
      <c r="U53" s="2">
        <f t="shared" si="35"/>
        <v>0</v>
      </c>
      <c r="V53" s="2">
        <f t="shared" si="36"/>
        <v>0</v>
      </c>
      <c r="W53" s="2"/>
      <c r="X53" s="2">
        <f t="shared" si="33"/>
        <v>0</v>
      </c>
      <c r="Y53" s="2">
        <f t="shared" si="21"/>
        <v>0</v>
      </c>
      <c r="Z53" s="2">
        <f t="shared" si="22"/>
        <v>275009.48420141928</v>
      </c>
      <c r="AA53" s="2">
        <f t="shared" si="23"/>
        <v>31249.026434512954</v>
      </c>
      <c r="AB53" s="6">
        <f t="shared" si="24"/>
        <v>0.12819563402852871</v>
      </c>
      <c r="AC53" s="7">
        <f t="shared" si="25"/>
        <v>1.1281956340285286</v>
      </c>
      <c r="AD53" s="2">
        <f t="shared" si="26"/>
        <v>0</v>
      </c>
      <c r="AF53">
        <f t="shared" si="6"/>
        <v>2006</v>
      </c>
      <c r="AG53" s="6">
        <f t="shared" si="3"/>
        <v>1</v>
      </c>
      <c r="AH53" s="7"/>
      <c r="AI53" s="6">
        <f t="shared" si="37"/>
        <v>0</v>
      </c>
      <c r="AJ53" s="6">
        <f t="shared" si="37"/>
        <v>0</v>
      </c>
      <c r="AK53" s="7"/>
      <c r="AL53" s="6">
        <f t="shared" si="31"/>
        <v>0</v>
      </c>
      <c r="AM53" s="6">
        <f t="shared" si="7"/>
        <v>0</v>
      </c>
      <c r="AN53" s="6">
        <f t="shared" si="27"/>
        <v>1</v>
      </c>
      <c r="AO53" s="7">
        <f t="shared" si="28"/>
        <v>1</v>
      </c>
      <c r="AP53" s="7">
        <f t="shared" si="29"/>
        <v>0</v>
      </c>
    </row>
    <row r="54" spans="1:42" x14ac:dyDescent="0.25">
      <c r="A54">
        <f t="shared" si="5"/>
        <v>2007</v>
      </c>
      <c r="B54" s="2">
        <f t="shared" si="8"/>
        <v>289832.4953998758</v>
      </c>
      <c r="C54" s="2"/>
      <c r="D54" s="2">
        <f t="shared" si="34"/>
        <v>0</v>
      </c>
      <c r="E54" s="2">
        <f t="shared" si="34"/>
        <v>0</v>
      </c>
      <c r="F54" s="2"/>
      <c r="G54" s="2">
        <f t="shared" si="32"/>
        <v>0</v>
      </c>
      <c r="H54" s="2">
        <f t="shared" si="10"/>
        <v>0</v>
      </c>
      <c r="I54" s="2">
        <f t="shared" si="11"/>
        <v>289832.4953998758</v>
      </c>
      <c r="J54" s="2">
        <f t="shared" si="12"/>
        <v>7947.902038225322</v>
      </c>
      <c r="K54" s="6">
        <f t="shared" si="13"/>
        <v>2.8195588639455631E-2</v>
      </c>
      <c r="L54" s="7">
        <f t="shared" si="14"/>
        <v>1.0281955886394556</v>
      </c>
      <c r="N54">
        <f t="shared" si="15"/>
        <v>2007</v>
      </c>
      <c r="O54" s="2">
        <f t="shared" si="16"/>
        <v>7046.9868892369577</v>
      </c>
      <c r="P54" s="2"/>
      <c r="Q54" s="2"/>
      <c r="R54">
        <f t="shared" si="17"/>
        <v>2007</v>
      </c>
      <c r="S54" s="2">
        <f t="shared" si="18"/>
        <v>282785.50851063884</v>
      </c>
      <c r="T54" s="2"/>
      <c r="U54" s="2">
        <f t="shared" si="35"/>
        <v>0</v>
      </c>
      <c r="V54" s="2">
        <f t="shared" si="36"/>
        <v>0</v>
      </c>
      <c r="W54" s="2"/>
      <c r="X54" s="2">
        <f t="shared" si="33"/>
        <v>0</v>
      </c>
      <c r="Y54" s="2">
        <f t="shared" si="21"/>
        <v>0</v>
      </c>
      <c r="Z54" s="2">
        <f t="shared" si="22"/>
        <v>282785.50851063884</v>
      </c>
      <c r="AA54" s="2">
        <f t="shared" si="23"/>
        <v>7776.0243092195597</v>
      </c>
      <c r="AB54" s="6">
        <f t="shared" si="24"/>
        <v>2.8275476868733492E-2</v>
      </c>
      <c r="AC54" s="7">
        <f t="shared" si="25"/>
        <v>1.0282754768687334</v>
      </c>
      <c r="AD54" s="2">
        <f t="shared" si="26"/>
        <v>0</v>
      </c>
      <c r="AF54">
        <f t="shared" si="6"/>
        <v>2007</v>
      </c>
      <c r="AG54" s="6">
        <f t="shared" si="3"/>
        <v>1</v>
      </c>
      <c r="AH54" s="7"/>
      <c r="AI54" s="6">
        <f t="shared" si="37"/>
        <v>0</v>
      </c>
      <c r="AJ54" s="6">
        <f t="shared" si="37"/>
        <v>0</v>
      </c>
      <c r="AK54" s="7"/>
      <c r="AL54" s="6">
        <f t="shared" si="31"/>
        <v>0</v>
      </c>
      <c r="AM54" s="6">
        <f t="shared" si="7"/>
        <v>0</v>
      </c>
      <c r="AN54" s="6">
        <f t="shared" si="27"/>
        <v>1</v>
      </c>
      <c r="AO54" s="7">
        <f t="shared" si="28"/>
        <v>1</v>
      </c>
      <c r="AP54" s="7">
        <f t="shared" si="29"/>
        <v>0</v>
      </c>
    </row>
    <row r="55" spans="1:42" x14ac:dyDescent="0.25">
      <c r="A55">
        <f t="shared" si="5"/>
        <v>2008</v>
      </c>
      <c r="B55" s="2">
        <f t="shared" si="8"/>
        <v>178098.31326000032</v>
      </c>
      <c r="C55" s="2"/>
      <c r="D55" s="2">
        <f t="shared" si="34"/>
        <v>0</v>
      </c>
      <c r="E55" s="2">
        <f t="shared" si="34"/>
        <v>0</v>
      </c>
      <c r="F55" s="2"/>
      <c r="G55" s="2">
        <f t="shared" si="32"/>
        <v>0</v>
      </c>
      <c r="H55" s="2">
        <f t="shared" si="10"/>
        <v>0</v>
      </c>
      <c r="I55" s="2">
        <f t="shared" si="11"/>
        <v>178098.31326000032</v>
      </c>
      <c r="J55" s="2">
        <f t="shared" si="12"/>
        <v>-111734.18213987548</v>
      </c>
      <c r="K55" s="6">
        <f t="shared" si="13"/>
        <v>-0.38551295632229982</v>
      </c>
      <c r="L55" s="7">
        <f t="shared" si="14"/>
        <v>0.61448704367770013</v>
      </c>
      <c r="N55">
        <f t="shared" si="15"/>
        <v>2008</v>
      </c>
      <c r="O55" s="2">
        <f t="shared" si="16"/>
        <v>7335.9133516956726</v>
      </c>
      <c r="P55" s="2"/>
      <c r="Q55" s="2"/>
      <c r="R55">
        <f t="shared" si="17"/>
        <v>2008</v>
      </c>
      <c r="S55" s="2">
        <f t="shared" si="18"/>
        <v>170762.39990830465</v>
      </c>
      <c r="T55" s="2"/>
      <c r="U55" s="2">
        <f t="shared" si="35"/>
        <v>0</v>
      </c>
      <c r="V55" s="2">
        <f t="shared" si="36"/>
        <v>0</v>
      </c>
      <c r="W55" s="2"/>
      <c r="X55" s="2">
        <f t="shared" si="33"/>
        <v>0</v>
      </c>
      <c r="Y55" s="2">
        <f t="shared" si="21"/>
        <v>0</v>
      </c>
      <c r="Z55" s="2">
        <f t="shared" si="22"/>
        <v>170762.39990830465</v>
      </c>
      <c r="AA55" s="2">
        <f t="shared" si="23"/>
        <v>-112023.10860233419</v>
      </c>
      <c r="AB55" s="6">
        <f t="shared" si="24"/>
        <v>-0.39614161698855127</v>
      </c>
      <c r="AC55" s="7">
        <f t="shared" si="25"/>
        <v>0.60385838301144878</v>
      </c>
      <c r="AD55" s="2">
        <f t="shared" si="26"/>
        <v>0</v>
      </c>
      <c r="AF55">
        <f t="shared" si="6"/>
        <v>2008</v>
      </c>
      <c r="AG55" s="6">
        <f t="shared" ref="AG55:AG64" si="38">S55/$Z55</f>
        <v>1</v>
      </c>
      <c r="AH55" s="7"/>
      <c r="AI55" s="6">
        <f t="shared" si="37"/>
        <v>0</v>
      </c>
      <c r="AJ55" s="6">
        <f t="shared" si="37"/>
        <v>0</v>
      </c>
      <c r="AK55" s="7"/>
      <c r="AL55" s="6">
        <f t="shared" si="31"/>
        <v>0</v>
      </c>
      <c r="AM55" s="6">
        <f t="shared" si="7"/>
        <v>0</v>
      </c>
      <c r="AN55" s="6">
        <f t="shared" si="27"/>
        <v>1</v>
      </c>
      <c r="AO55" s="7">
        <f t="shared" si="28"/>
        <v>1</v>
      </c>
      <c r="AP55" s="7">
        <f t="shared" si="29"/>
        <v>0</v>
      </c>
    </row>
    <row r="56" spans="1:42" x14ac:dyDescent="0.25">
      <c r="A56">
        <f t="shared" si="5"/>
        <v>2009</v>
      </c>
      <c r="B56" s="2">
        <f t="shared" si="8"/>
        <v>215997.35964401453</v>
      </c>
      <c r="C56" s="2"/>
      <c r="D56" s="2">
        <f t="shared" si="34"/>
        <v>0</v>
      </c>
      <c r="E56" s="2">
        <f t="shared" si="34"/>
        <v>0</v>
      </c>
      <c r="F56" s="2"/>
      <c r="G56" s="2">
        <f t="shared" si="32"/>
        <v>0</v>
      </c>
      <c r="H56" s="2">
        <f t="shared" si="10"/>
        <v>0</v>
      </c>
      <c r="I56" s="2">
        <f t="shared" si="11"/>
        <v>215997.35964401453</v>
      </c>
      <c r="J56" s="2">
        <f>I56-I55</f>
        <v>37899.046384014218</v>
      </c>
      <c r="K56" s="6">
        <f>(J56/I55)</f>
        <v>0.21279845771861158</v>
      </c>
      <c r="L56" s="7">
        <f t="shared" si="14"/>
        <v>1.2127984577186115</v>
      </c>
      <c r="N56">
        <f t="shared" si="15"/>
        <v>2009</v>
      </c>
      <c r="O56" s="2">
        <f t="shared" si="16"/>
        <v>7335.9133516956726</v>
      </c>
      <c r="P56" s="2"/>
      <c r="Q56" s="2"/>
      <c r="R56">
        <f t="shared" si="17"/>
        <v>2009</v>
      </c>
      <c r="S56" s="2">
        <f t="shared" si="18"/>
        <v>208661.44629231887</v>
      </c>
      <c r="T56" s="2"/>
      <c r="U56" s="2">
        <f t="shared" si="35"/>
        <v>0</v>
      </c>
      <c r="V56" s="2">
        <f t="shared" si="36"/>
        <v>0</v>
      </c>
      <c r="W56" s="2"/>
      <c r="X56" s="2">
        <f t="shared" si="33"/>
        <v>0</v>
      </c>
      <c r="Y56" s="2">
        <f t="shared" si="21"/>
        <v>0</v>
      </c>
      <c r="Z56" s="2">
        <f t="shared" si="22"/>
        <v>208661.44629231887</v>
      </c>
      <c r="AA56" s="2">
        <f>Z56-Z55</f>
        <v>37899.046384014218</v>
      </c>
      <c r="AB56" s="6">
        <f>(AA56/Z55)</f>
        <v>0.22194023042757133</v>
      </c>
      <c r="AC56" s="7">
        <f t="shared" si="25"/>
        <v>1.2219402304275713</v>
      </c>
      <c r="AD56" s="2">
        <f t="shared" si="26"/>
        <v>0</v>
      </c>
      <c r="AF56">
        <f t="shared" si="6"/>
        <v>2009</v>
      </c>
      <c r="AG56" s="6">
        <f t="shared" si="38"/>
        <v>1</v>
      </c>
      <c r="AH56" s="7"/>
      <c r="AI56" s="6">
        <f t="shared" si="37"/>
        <v>0</v>
      </c>
      <c r="AJ56" s="6">
        <f t="shared" si="37"/>
        <v>0</v>
      </c>
      <c r="AK56" s="7"/>
      <c r="AL56" s="6">
        <f t="shared" si="31"/>
        <v>0</v>
      </c>
      <c r="AM56" s="6">
        <f t="shared" si="7"/>
        <v>0</v>
      </c>
      <c r="AN56" s="6">
        <f t="shared" si="27"/>
        <v>1</v>
      </c>
      <c r="AO56" s="7">
        <f t="shared" si="28"/>
        <v>1</v>
      </c>
      <c r="AP56" s="7">
        <f t="shared" si="29"/>
        <v>0</v>
      </c>
    </row>
    <row r="57" spans="1:42" x14ac:dyDescent="0.25">
      <c r="A57">
        <f t="shared" si="5"/>
        <v>2010</v>
      </c>
      <c r="B57" s="2">
        <f t="shared" ref="B57:B64" si="39">S56*(1+(B21/100))</f>
        <v>239772.86793450362</v>
      </c>
      <c r="C57" s="2"/>
      <c r="D57" s="2">
        <f t="shared" si="34"/>
        <v>0</v>
      </c>
      <c r="E57" s="2">
        <f t="shared" si="34"/>
        <v>0</v>
      </c>
      <c r="F57" s="2"/>
      <c r="G57" s="2">
        <f t="shared" si="32"/>
        <v>0</v>
      </c>
      <c r="H57" s="2">
        <f t="shared" si="10"/>
        <v>0</v>
      </c>
      <c r="I57" s="2">
        <f t="shared" si="11"/>
        <v>239772.86793450362</v>
      </c>
      <c r="J57" s="2">
        <f t="shared" si="12"/>
        <v>23775.508290489088</v>
      </c>
      <c r="K57" s="6">
        <f t="shared" si="13"/>
        <v>0.11007314316097903</v>
      </c>
      <c r="L57" s="7">
        <f t="shared" si="14"/>
        <v>1.1100731431609789</v>
      </c>
      <c r="N57">
        <f t="shared" si="15"/>
        <v>2010</v>
      </c>
      <c r="O57" s="2">
        <f t="shared" si="16"/>
        <v>7541.3189255431516</v>
      </c>
      <c r="P57" s="2"/>
      <c r="Q57" s="2"/>
      <c r="R57">
        <f t="shared" si="17"/>
        <v>2010</v>
      </c>
      <c r="S57" s="2">
        <f t="shared" si="18"/>
        <v>232231.54900896046</v>
      </c>
      <c r="T57" s="2"/>
      <c r="U57" s="2">
        <f t="shared" si="35"/>
        <v>0</v>
      </c>
      <c r="V57" s="2">
        <f t="shared" si="36"/>
        <v>0</v>
      </c>
      <c r="W57" s="2"/>
      <c r="X57" s="2">
        <f t="shared" si="33"/>
        <v>0</v>
      </c>
      <c r="Y57" s="2">
        <f t="shared" si="21"/>
        <v>0</v>
      </c>
      <c r="Z57" s="2">
        <f t="shared" si="22"/>
        <v>232231.54900896046</v>
      </c>
      <c r="AA57" s="2">
        <f t="shared" ref="AA57:AA64" si="40">Z57-Z56</f>
        <v>23570.102716641588</v>
      </c>
      <c r="AB57" s="6">
        <f t="shared" ref="AB57:AB64" si="41">(AA57/Z56)</f>
        <v>0.11295858978961384</v>
      </c>
      <c r="AC57" s="7">
        <f t="shared" si="25"/>
        <v>1.1129585897896139</v>
      </c>
      <c r="AD57" s="2">
        <f t="shared" si="26"/>
        <v>0</v>
      </c>
      <c r="AF57">
        <f t="shared" si="6"/>
        <v>2010</v>
      </c>
      <c r="AG57" s="6">
        <f t="shared" si="38"/>
        <v>1</v>
      </c>
      <c r="AH57" s="7"/>
      <c r="AI57" s="6">
        <f t="shared" si="37"/>
        <v>0</v>
      </c>
      <c r="AJ57" s="6">
        <f t="shared" si="37"/>
        <v>0</v>
      </c>
      <c r="AK57" s="7"/>
      <c r="AL57" s="6">
        <f t="shared" si="31"/>
        <v>0</v>
      </c>
      <c r="AM57" s="6">
        <f t="shared" si="7"/>
        <v>0</v>
      </c>
      <c r="AN57" s="6">
        <f t="shared" si="27"/>
        <v>1</v>
      </c>
      <c r="AO57" s="7">
        <f t="shared" si="28"/>
        <v>1</v>
      </c>
      <c r="AP57" s="7">
        <f t="shared" si="29"/>
        <v>0</v>
      </c>
    </row>
    <row r="58" spans="1:42" x14ac:dyDescent="0.25">
      <c r="A58">
        <f t="shared" si="5"/>
        <v>2011</v>
      </c>
      <c r="B58" s="2">
        <f t="shared" si="39"/>
        <v>236806.51052443698</v>
      </c>
      <c r="C58" s="2"/>
      <c r="D58" s="2">
        <f t="shared" si="34"/>
        <v>0</v>
      </c>
      <c r="E58" s="2">
        <f t="shared" si="34"/>
        <v>0</v>
      </c>
      <c r="F58" s="2"/>
      <c r="G58" s="2">
        <f t="shared" si="32"/>
        <v>0</v>
      </c>
      <c r="H58" s="2">
        <f t="shared" si="10"/>
        <v>0</v>
      </c>
      <c r="I58" s="2">
        <f t="shared" si="11"/>
        <v>236806.51052443698</v>
      </c>
      <c r="J58" s="2">
        <f t="shared" si="12"/>
        <v>-2966.3574100666447</v>
      </c>
      <c r="K58" s="6">
        <f t="shared" si="13"/>
        <v>-1.2371530755835707E-2</v>
      </c>
      <c r="L58" s="7">
        <f t="shared" si="14"/>
        <v>0.98762846924416425</v>
      </c>
      <c r="N58">
        <f t="shared" si="15"/>
        <v>2011</v>
      </c>
      <c r="O58" s="2">
        <f t="shared" si="16"/>
        <v>7646.897390500756</v>
      </c>
      <c r="P58" s="2"/>
      <c r="Q58" s="2"/>
      <c r="R58">
        <f t="shared" si="17"/>
        <v>2011</v>
      </c>
      <c r="S58" s="2">
        <f t="shared" si="18"/>
        <v>229159.61313393622</v>
      </c>
      <c r="T58" s="2"/>
      <c r="U58" s="2">
        <f t="shared" si="35"/>
        <v>0</v>
      </c>
      <c r="V58" s="2">
        <f t="shared" si="36"/>
        <v>0</v>
      </c>
      <c r="W58" s="2"/>
      <c r="X58" s="2">
        <f t="shared" si="33"/>
        <v>0</v>
      </c>
      <c r="Y58" s="2">
        <f t="shared" si="21"/>
        <v>0</v>
      </c>
      <c r="Z58" s="2">
        <f t="shared" si="22"/>
        <v>229159.61313393622</v>
      </c>
      <c r="AA58" s="2">
        <f t="shared" si="40"/>
        <v>-3071.9358750242391</v>
      </c>
      <c r="AB58" s="6">
        <f t="shared" si="41"/>
        <v>-1.3227900722936276E-2</v>
      </c>
      <c r="AC58" s="7">
        <f t="shared" si="25"/>
        <v>0.98677209927706377</v>
      </c>
      <c r="AD58" s="2">
        <f t="shared" si="26"/>
        <v>0</v>
      </c>
      <c r="AF58">
        <f t="shared" si="6"/>
        <v>2011</v>
      </c>
      <c r="AG58" s="6">
        <f t="shared" si="38"/>
        <v>1</v>
      </c>
      <c r="AH58" s="7"/>
      <c r="AI58" s="6">
        <f t="shared" si="37"/>
        <v>0</v>
      </c>
      <c r="AJ58" s="6">
        <f t="shared" si="37"/>
        <v>0</v>
      </c>
      <c r="AK58" s="7"/>
      <c r="AL58" s="6">
        <f t="shared" si="31"/>
        <v>0</v>
      </c>
      <c r="AM58" s="6">
        <f t="shared" si="7"/>
        <v>0</v>
      </c>
      <c r="AN58" s="6">
        <f t="shared" si="27"/>
        <v>1</v>
      </c>
      <c r="AO58" s="7">
        <f t="shared" si="28"/>
        <v>1</v>
      </c>
      <c r="AP58" s="7">
        <f t="shared" si="29"/>
        <v>0</v>
      </c>
    </row>
    <row r="59" spans="1:42" x14ac:dyDescent="0.25">
      <c r="A59">
        <f t="shared" si="5"/>
        <v>2012</v>
      </c>
      <c r="B59" s="2">
        <f t="shared" si="39"/>
        <v>265412.66393172491</v>
      </c>
      <c r="C59" s="2"/>
      <c r="D59" s="2">
        <f t="shared" si="34"/>
        <v>0</v>
      </c>
      <c r="E59" s="2">
        <f t="shared" si="34"/>
        <v>0</v>
      </c>
      <c r="F59" s="2"/>
      <c r="G59" s="2">
        <f t="shared" si="32"/>
        <v>0</v>
      </c>
      <c r="H59" s="2">
        <f t="shared" si="10"/>
        <v>0</v>
      </c>
      <c r="I59" s="2">
        <f t="shared" si="11"/>
        <v>265412.66393172491</v>
      </c>
      <c r="J59" s="2">
        <f t="shared" si="12"/>
        <v>28606.153407287929</v>
      </c>
      <c r="K59" s="6">
        <f t="shared" si="13"/>
        <v>0.1207996914609151</v>
      </c>
      <c r="L59" s="7">
        <f t="shared" si="14"/>
        <v>1.1207996914609151</v>
      </c>
      <c r="N59">
        <f t="shared" si="15"/>
        <v>2012</v>
      </c>
      <c r="O59" s="2">
        <f t="shared" si="16"/>
        <v>7876.3043122157787</v>
      </c>
      <c r="P59" s="2"/>
      <c r="Q59" s="2"/>
      <c r="R59">
        <f t="shared" si="17"/>
        <v>2012</v>
      </c>
      <c r="S59" s="2">
        <f t="shared" si="18"/>
        <v>257536.35961950914</v>
      </c>
      <c r="T59" s="2"/>
      <c r="U59" s="2">
        <f t="shared" si="35"/>
        <v>0</v>
      </c>
      <c r="V59" s="2">
        <f t="shared" si="36"/>
        <v>0</v>
      </c>
      <c r="W59" s="2"/>
      <c r="X59" s="2">
        <f t="shared" si="33"/>
        <v>0</v>
      </c>
      <c r="Y59" s="2">
        <f t="shared" si="21"/>
        <v>0</v>
      </c>
      <c r="Z59" s="2">
        <f t="shared" si="22"/>
        <v>257536.35961950914</v>
      </c>
      <c r="AA59" s="2">
        <f t="shared" si="40"/>
        <v>28376.746485572919</v>
      </c>
      <c r="AB59" s="6">
        <f t="shared" si="41"/>
        <v>0.12382961420426054</v>
      </c>
      <c r="AC59" s="7">
        <f t="shared" si="25"/>
        <v>1.1238296142042605</v>
      </c>
      <c r="AD59" s="2">
        <f t="shared" si="26"/>
        <v>0</v>
      </c>
      <c r="AF59">
        <f t="shared" si="6"/>
        <v>2012</v>
      </c>
      <c r="AG59" s="6">
        <f t="shared" si="38"/>
        <v>1</v>
      </c>
      <c r="AH59" s="7"/>
      <c r="AI59" s="6">
        <f t="shared" si="37"/>
        <v>0</v>
      </c>
      <c r="AJ59" s="6">
        <f t="shared" si="37"/>
        <v>0</v>
      </c>
      <c r="AK59" s="7"/>
      <c r="AL59" s="6">
        <f t="shared" si="31"/>
        <v>0</v>
      </c>
      <c r="AM59" s="6">
        <f t="shared" si="7"/>
        <v>0</v>
      </c>
      <c r="AN59" s="6">
        <f t="shared" si="27"/>
        <v>1</v>
      </c>
      <c r="AO59" s="7">
        <f t="shared" si="28"/>
        <v>1</v>
      </c>
      <c r="AP59" s="7">
        <f t="shared" si="29"/>
        <v>0</v>
      </c>
    </row>
    <row r="60" spans="1:42" x14ac:dyDescent="0.25">
      <c r="A60">
        <f t="shared" si="5"/>
        <v>2013</v>
      </c>
      <c r="B60" s="2">
        <f t="shared" si="39"/>
        <v>340411.56014506723</v>
      </c>
      <c r="C60" s="2"/>
      <c r="D60" s="2">
        <f t="shared" si="34"/>
        <v>0</v>
      </c>
      <c r="E60" s="2">
        <f t="shared" si="34"/>
        <v>0</v>
      </c>
      <c r="F60" s="2"/>
      <c r="G60" s="2">
        <f t="shared" si="32"/>
        <v>0</v>
      </c>
      <c r="H60" s="2">
        <f t="shared" si="10"/>
        <v>0</v>
      </c>
      <c r="I60" s="2">
        <f t="shared" si="11"/>
        <v>340411.56014506723</v>
      </c>
      <c r="J60" s="2">
        <f t="shared" si="12"/>
        <v>74998.896213342319</v>
      </c>
      <c r="K60" s="6">
        <f t="shared" si="13"/>
        <v>0.28257467108892415</v>
      </c>
      <c r="L60" s="7">
        <f t="shared" si="14"/>
        <v>1.2825746710889241</v>
      </c>
      <c r="N60">
        <f t="shared" si="15"/>
        <v>2013</v>
      </c>
      <c r="O60" s="2">
        <f t="shared" si="16"/>
        <v>8018.0777898356628</v>
      </c>
      <c r="P60" s="2"/>
      <c r="Q60" s="2"/>
      <c r="R60">
        <f t="shared" si="17"/>
        <v>2013</v>
      </c>
      <c r="S60" s="2">
        <f t="shared" si="18"/>
        <v>332393.48235523154</v>
      </c>
      <c r="T60" s="2"/>
      <c r="U60" s="2">
        <f t="shared" si="35"/>
        <v>0</v>
      </c>
      <c r="V60" s="2">
        <f t="shared" si="36"/>
        <v>0</v>
      </c>
      <c r="W60" s="2"/>
      <c r="X60" s="2">
        <f t="shared" si="33"/>
        <v>0</v>
      </c>
      <c r="Y60" s="2">
        <f t="shared" si="21"/>
        <v>0</v>
      </c>
      <c r="Z60" s="2">
        <f t="shared" si="22"/>
        <v>332393.48235523154</v>
      </c>
      <c r="AA60" s="2">
        <f t="shared" si="40"/>
        <v>74857.122735722398</v>
      </c>
      <c r="AB60" s="6">
        <f t="shared" si="41"/>
        <v>0.29066622998911007</v>
      </c>
      <c r="AC60" s="7">
        <f t="shared" si="25"/>
        <v>1.2906662299891101</v>
      </c>
      <c r="AD60" s="2">
        <f t="shared" si="26"/>
        <v>0</v>
      </c>
      <c r="AF60">
        <f t="shared" si="6"/>
        <v>2013</v>
      </c>
      <c r="AG60" s="6">
        <f t="shared" si="38"/>
        <v>1</v>
      </c>
      <c r="AH60" s="7"/>
      <c r="AI60" s="6">
        <f t="shared" si="37"/>
        <v>0</v>
      </c>
      <c r="AJ60" s="6">
        <f t="shared" si="37"/>
        <v>0</v>
      </c>
      <c r="AK60" s="7"/>
      <c r="AL60" s="6">
        <f t="shared" si="31"/>
        <v>0</v>
      </c>
      <c r="AM60" s="6">
        <f t="shared" si="7"/>
        <v>0</v>
      </c>
      <c r="AN60" s="6">
        <f t="shared" si="27"/>
        <v>1</v>
      </c>
      <c r="AO60" s="7">
        <f t="shared" si="28"/>
        <v>1</v>
      </c>
      <c r="AP60" s="7">
        <f t="shared" si="29"/>
        <v>0</v>
      </c>
    </row>
    <row r="61" spans="1:42" x14ac:dyDescent="0.25">
      <c r="A61">
        <f t="shared" si="5"/>
        <v>2014</v>
      </c>
      <c r="B61" s="2">
        <f t="shared" si="39"/>
        <v>377299.84182142332</v>
      </c>
      <c r="C61" s="2"/>
      <c r="D61" s="2">
        <f t="shared" si="34"/>
        <v>0</v>
      </c>
      <c r="E61" s="2">
        <f t="shared" si="34"/>
        <v>0</v>
      </c>
      <c r="F61" s="2"/>
      <c r="G61" s="2">
        <f t="shared" si="32"/>
        <v>0</v>
      </c>
      <c r="H61" s="2">
        <f t="shared" si="10"/>
        <v>0</v>
      </c>
      <c r="I61" s="2">
        <f t="shared" si="11"/>
        <v>377299.84182142332</v>
      </c>
      <c r="J61" s="2">
        <f t="shared" si="12"/>
        <v>36888.281676356099</v>
      </c>
      <c r="K61" s="6">
        <f t="shared" si="13"/>
        <v>0.10836377489834971</v>
      </c>
      <c r="L61" s="7">
        <f t="shared" si="14"/>
        <v>1.1083637748983497</v>
      </c>
      <c r="N61">
        <f t="shared" si="15"/>
        <v>2014</v>
      </c>
      <c r="O61" s="2">
        <f t="shared" si="16"/>
        <v>8110.7340317036924</v>
      </c>
      <c r="P61" s="2"/>
      <c r="Q61" s="2"/>
      <c r="R61">
        <f t="shared" si="17"/>
        <v>2014</v>
      </c>
      <c r="S61" s="2">
        <f t="shared" si="18"/>
        <v>369189.10778971965</v>
      </c>
      <c r="T61" s="2"/>
      <c r="U61" s="2">
        <f t="shared" si="35"/>
        <v>0</v>
      </c>
      <c r="V61" s="2">
        <f t="shared" si="36"/>
        <v>0</v>
      </c>
      <c r="W61" s="2"/>
      <c r="X61" s="2">
        <f t="shared" si="33"/>
        <v>0</v>
      </c>
      <c r="Y61" s="2">
        <f t="shared" si="21"/>
        <v>0</v>
      </c>
      <c r="Z61" s="2">
        <f t="shared" si="22"/>
        <v>369189.10778971965</v>
      </c>
      <c r="AA61" s="2">
        <f t="shared" si="40"/>
        <v>36795.625434488116</v>
      </c>
      <c r="AB61" s="6">
        <f t="shared" si="41"/>
        <v>0.11069899798806626</v>
      </c>
      <c r="AC61" s="7">
        <f t="shared" si="25"/>
        <v>1.1106989979880662</v>
      </c>
      <c r="AD61" s="2">
        <f t="shared" si="26"/>
        <v>0</v>
      </c>
      <c r="AF61">
        <f t="shared" si="6"/>
        <v>2014</v>
      </c>
      <c r="AG61" s="6">
        <f t="shared" si="38"/>
        <v>1</v>
      </c>
      <c r="AH61" s="7"/>
      <c r="AI61" s="6">
        <f t="shared" si="37"/>
        <v>0</v>
      </c>
      <c r="AJ61" s="6">
        <f t="shared" si="37"/>
        <v>0</v>
      </c>
      <c r="AK61" s="7"/>
      <c r="AL61" s="6">
        <f t="shared" si="31"/>
        <v>0</v>
      </c>
      <c r="AM61" s="6">
        <f t="shared" si="7"/>
        <v>0</v>
      </c>
      <c r="AN61" s="6">
        <f t="shared" si="27"/>
        <v>1</v>
      </c>
      <c r="AO61" s="7">
        <f t="shared" si="28"/>
        <v>1</v>
      </c>
      <c r="AP61" s="7">
        <f t="shared" si="29"/>
        <v>0</v>
      </c>
    </row>
    <row r="62" spans="1:42" x14ac:dyDescent="0.25">
      <c r="A62">
        <f t="shared" si="5"/>
        <v>2015</v>
      </c>
      <c r="B62" s="2">
        <f t="shared" si="39"/>
        <v>373803.97163709113</v>
      </c>
      <c r="C62" s="2"/>
      <c r="D62" s="2">
        <f t="shared" si="34"/>
        <v>0</v>
      </c>
      <c r="E62" s="2">
        <f t="shared" si="34"/>
        <v>0</v>
      </c>
      <c r="F62" s="2"/>
      <c r="G62" s="2">
        <f t="shared" si="32"/>
        <v>0</v>
      </c>
      <c r="H62" s="2">
        <f t="shared" si="10"/>
        <v>0</v>
      </c>
      <c r="I62" s="2">
        <f t="shared" si="11"/>
        <v>373803.97163709113</v>
      </c>
      <c r="J62" s="2">
        <f t="shared" si="12"/>
        <v>-3495.8701843321905</v>
      </c>
      <c r="K62" s="6">
        <f t="shared" si="13"/>
        <v>-9.2654960242119378E-3</v>
      </c>
      <c r="L62" s="7">
        <f t="shared" si="14"/>
        <v>0.99073450397578811</v>
      </c>
      <c r="N62">
        <f t="shared" si="15"/>
        <v>2015</v>
      </c>
      <c r="O62" s="2">
        <f t="shared" si="16"/>
        <v>8215.3625007126684</v>
      </c>
      <c r="P62" s="2"/>
      <c r="Q62" s="2"/>
      <c r="R62">
        <f t="shared" si="17"/>
        <v>2015</v>
      </c>
      <c r="S62" s="2">
        <f t="shared" si="18"/>
        <v>365588.60913637845</v>
      </c>
      <c r="T62" s="2"/>
      <c r="U62" s="2">
        <f t="shared" si="35"/>
        <v>0</v>
      </c>
      <c r="V62" s="2">
        <f t="shared" si="36"/>
        <v>0</v>
      </c>
      <c r="W62" s="2"/>
      <c r="X62" s="2">
        <f t="shared" si="33"/>
        <v>0</v>
      </c>
      <c r="Y62" s="2">
        <f t="shared" si="21"/>
        <v>0</v>
      </c>
      <c r="Z62" s="2">
        <f t="shared" si="22"/>
        <v>365588.60913637845</v>
      </c>
      <c r="AA62" s="2">
        <f t="shared" si="40"/>
        <v>-3600.4986533412011</v>
      </c>
      <c r="AB62" s="6">
        <f t="shared" si="41"/>
        <v>-9.7524509184381183E-3</v>
      </c>
      <c r="AC62" s="7">
        <f t="shared" si="25"/>
        <v>0.99024754908156187</v>
      </c>
      <c r="AD62" s="2">
        <f t="shared" si="26"/>
        <v>0</v>
      </c>
      <c r="AF62">
        <f t="shared" si="6"/>
        <v>2015</v>
      </c>
      <c r="AG62" s="6">
        <f t="shared" si="38"/>
        <v>1</v>
      </c>
      <c r="AH62" s="7"/>
      <c r="AI62" s="6">
        <f t="shared" si="37"/>
        <v>0</v>
      </c>
      <c r="AJ62" s="6">
        <f t="shared" si="37"/>
        <v>0</v>
      </c>
      <c r="AK62" s="7"/>
      <c r="AL62" s="6">
        <f t="shared" si="31"/>
        <v>0</v>
      </c>
      <c r="AM62" s="6">
        <f t="shared" si="7"/>
        <v>0</v>
      </c>
      <c r="AN62" s="6">
        <f t="shared" si="27"/>
        <v>1</v>
      </c>
      <c r="AO62" s="7">
        <f t="shared" si="28"/>
        <v>1</v>
      </c>
      <c r="AP62" s="7">
        <f t="shared" si="29"/>
        <v>0</v>
      </c>
    </row>
    <row r="63" spans="1:42" x14ac:dyDescent="0.25">
      <c r="A63">
        <f t="shared" si="5"/>
        <v>2016</v>
      </c>
      <c r="B63" s="2">
        <f t="shared" si="39"/>
        <v>408801.18273629842</v>
      </c>
      <c r="C63" s="2"/>
      <c r="D63" s="2">
        <f t="shared" si="34"/>
        <v>0</v>
      </c>
      <c r="E63" s="2">
        <f t="shared" si="34"/>
        <v>0</v>
      </c>
      <c r="F63" s="2"/>
      <c r="G63" s="2">
        <f t="shared" si="32"/>
        <v>0</v>
      </c>
      <c r="H63" s="2">
        <f t="shared" si="10"/>
        <v>0</v>
      </c>
      <c r="I63" s="2">
        <f t="shared" si="11"/>
        <v>408801.18273629842</v>
      </c>
      <c r="J63" s="2">
        <f t="shared" si="12"/>
        <v>34997.211099207285</v>
      </c>
      <c r="K63" s="6">
        <f t="shared" si="13"/>
        <v>9.3624503094323588E-2</v>
      </c>
      <c r="L63" s="7">
        <f t="shared" si="14"/>
        <v>1.0936245030943237</v>
      </c>
      <c r="N63">
        <f t="shared" si="15"/>
        <v>2016</v>
      </c>
      <c r="O63" s="2">
        <f t="shared" si="16"/>
        <v>8251.5100957158047</v>
      </c>
      <c r="P63" s="2"/>
      <c r="Q63" s="2"/>
      <c r="R63">
        <f t="shared" si="17"/>
        <v>2016</v>
      </c>
      <c r="S63" s="2">
        <f t="shared" si="18"/>
        <v>400549.6726405826</v>
      </c>
      <c r="T63" s="2"/>
      <c r="U63" s="2">
        <f t="shared" si="35"/>
        <v>0</v>
      </c>
      <c r="V63" s="2">
        <f t="shared" si="36"/>
        <v>0</v>
      </c>
      <c r="W63" s="2"/>
      <c r="X63" s="2">
        <f t="shared" si="33"/>
        <v>0</v>
      </c>
      <c r="Y63" s="2">
        <f t="shared" si="21"/>
        <v>0</v>
      </c>
      <c r="Z63" s="2">
        <f t="shared" si="22"/>
        <v>400549.6726405826</v>
      </c>
      <c r="AA63" s="2">
        <f t="shared" si="40"/>
        <v>34961.063504204154</v>
      </c>
      <c r="AB63" s="6">
        <f t="shared" si="41"/>
        <v>9.5629520806985391E-2</v>
      </c>
      <c r="AC63" s="7">
        <f t="shared" si="25"/>
        <v>1.0956295208069853</v>
      </c>
      <c r="AD63" s="2">
        <f t="shared" si="26"/>
        <v>0</v>
      </c>
      <c r="AF63">
        <f t="shared" si="6"/>
        <v>2016</v>
      </c>
      <c r="AG63" s="6">
        <f t="shared" si="38"/>
        <v>1</v>
      </c>
      <c r="AH63" s="7"/>
      <c r="AI63" s="6">
        <f t="shared" si="37"/>
        <v>0</v>
      </c>
      <c r="AJ63" s="6">
        <f t="shared" si="37"/>
        <v>0</v>
      </c>
      <c r="AK63" s="7"/>
      <c r="AL63" s="6">
        <f t="shared" si="31"/>
        <v>0</v>
      </c>
      <c r="AM63" s="6">
        <f t="shared" si="7"/>
        <v>0</v>
      </c>
      <c r="AN63" s="6">
        <f t="shared" si="27"/>
        <v>1</v>
      </c>
      <c r="AO63" s="7">
        <f t="shared" si="28"/>
        <v>1</v>
      </c>
      <c r="AP63" s="7">
        <f t="shared" si="29"/>
        <v>0</v>
      </c>
    </row>
    <row r="64" spans="1:42" x14ac:dyDescent="0.25">
      <c r="A64">
        <f t="shared" si="5"/>
        <v>2017</v>
      </c>
      <c r="B64" s="2">
        <f t="shared" si="39"/>
        <v>487348.78670179681</v>
      </c>
      <c r="C64" s="2"/>
      <c r="D64" s="2">
        <f t="shared" si="34"/>
        <v>0</v>
      </c>
      <c r="E64" s="2">
        <f t="shared" si="34"/>
        <v>0</v>
      </c>
      <c r="F64" s="2"/>
      <c r="G64" s="2">
        <f t="shared" si="32"/>
        <v>0</v>
      </c>
      <c r="H64" s="2">
        <f t="shared" si="10"/>
        <v>0</v>
      </c>
      <c r="I64" s="2">
        <f t="shared" si="11"/>
        <v>487348.78670179681</v>
      </c>
      <c r="J64" s="2">
        <f t="shared" si="12"/>
        <v>78547.603965498391</v>
      </c>
      <c r="K64" s="6">
        <f t="shared" si="13"/>
        <v>0.19214133246812637</v>
      </c>
      <c r="L64" s="7">
        <f t="shared" si="14"/>
        <v>1.1921413324681263</v>
      </c>
      <c r="N64">
        <f t="shared" si="15"/>
        <v>2017</v>
      </c>
      <c r="O64" s="2">
        <f t="shared" si="16"/>
        <v>8391.7857673429735</v>
      </c>
      <c r="P64" s="2"/>
      <c r="Q64" s="2"/>
      <c r="R64">
        <f t="shared" si="17"/>
        <v>2017</v>
      </c>
      <c r="S64" s="2">
        <f t="shared" si="18"/>
        <v>478957.00093445386</v>
      </c>
      <c r="T64" s="2"/>
      <c r="U64" s="2">
        <f t="shared" si="35"/>
        <v>0</v>
      </c>
      <c r="V64" s="2">
        <f t="shared" si="36"/>
        <v>0</v>
      </c>
      <c r="W64" s="2"/>
      <c r="X64" s="2">
        <f t="shared" si="33"/>
        <v>0</v>
      </c>
      <c r="Y64" s="2">
        <f t="shared" si="21"/>
        <v>0</v>
      </c>
      <c r="Z64" s="2">
        <f t="shared" si="22"/>
        <v>478957.00093445386</v>
      </c>
      <c r="AA64" s="2">
        <f t="shared" si="40"/>
        <v>78407.328293871251</v>
      </c>
      <c r="AB64" s="6">
        <f t="shared" si="41"/>
        <v>0.19574932561292333</v>
      </c>
      <c r="AC64" s="7">
        <f t="shared" si="25"/>
        <v>1.1957493256129232</v>
      </c>
      <c r="AD64" s="2">
        <f t="shared" si="26"/>
        <v>0</v>
      </c>
      <c r="AF64">
        <f t="shared" si="6"/>
        <v>2017</v>
      </c>
      <c r="AG64" s="6">
        <f t="shared" si="38"/>
        <v>1</v>
      </c>
      <c r="AH64" s="7"/>
      <c r="AI64" s="6">
        <f t="shared" si="37"/>
        <v>0</v>
      </c>
      <c r="AJ64" s="6">
        <f t="shared" si="37"/>
        <v>0</v>
      </c>
      <c r="AK64" s="7"/>
      <c r="AL64" s="6">
        <f t="shared" si="31"/>
        <v>0</v>
      </c>
      <c r="AM64" s="6">
        <f t="shared" si="7"/>
        <v>0</v>
      </c>
      <c r="AN64" s="6">
        <f t="shared" si="27"/>
        <v>1</v>
      </c>
      <c r="AO64" s="7">
        <f t="shared" si="28"/>
        <v>1</v>
      </c>
      <c r="AP64" s="7">
        <f t="shared" si="29"/>
        <v>0</v>
      </c>
    </row>
    <row r="65" spans="1:36" x14ac:dyDescent="0.25">
      <c r="A65" s="9" t="s">
        <v>79</v>
      </c>
      <c r="B65" s="10">
        <f>S64</f>
        <v>478957.00093445386</v>
      </c>
      <c r="C65" s="10"/>
      <c r="D65" s="10">
        <f>U64</f>
        <v>0</v>
      </c>
      <c r="E65" s="10">
        <f>V64</f>
        <v>0</v>
      </c>
      <c r="F65" s="10"/>
      <c r="G65" s="10">
        <f>X64</f>
        <v>0</v>
      </c>
      <c r="H65" s="10">
        <f>Y64</f>
        <v>0</v>
      </c>
      <c r="I65" s="10">
        <f>SUM(B65:H65)</f>
        <v>478957.00093445386</v>
      </c>
      <c r="J65" s="10"/>
      <c r="K65" s="10"/>
      <c r="N65" t="s">
        <v>40</v>
      </c>
      <c r="O65" s="2">
        <f>O64</f>
        <v>8391.7857673429735</v>
      </c>
      <c r="P65" s="2"/>
      <c r="R65" s="82" t="s">
        <v>79</v>
      </c>
      <c r="S65" s="10">
        <f>S64</f>
        <v>478957.00093445386</v>
      </c>
      <c r="T65" s="10"/>
      <c r="U65" s="10">
        <f>U64</f>
        <v>0</v>
      </c>
      <c r="V65" s="10">
        <f>V64</f>
        <v>0</v>
      </c>
      <c r="W65" s="10"/>
      <c r="X65" s="10">
        <f>X64</f>
        <v>0</v>
      </c>
      <c r="Y65" s="10">
        <f>Y64</f>
        <v>0</v>
      </c>
      <c r="Z65" s="10">
        <f>SUM(S65:Y65)</f>
        <v>478957.00093445386</v>
      </c>
      <c r="AA65" s="43"/>
      <c r="AB65" s="43"/>
      <c r="AC65" s="43"/>
      <c r="AD65" s="43"/>
      <c r="AJ65" s="7"/>
    </row>
    <row r="66" spans="1:36" x14ac:dyDescent="0.25">
      <c r="A66" s="11" t="s">
        <v>11</v>
      </c>
      <c r="I66" s="6">
        <f>(Z65-Z39)/Z39</f>
        <v>3.7895700093445384</v>
      </c>
      <c r="K66" s="6"/>
      <c r="N66" t="s">
        <v>71</v>
      </c>
      <c r="O66" s="2">
        <f>SUM(O40:O64)</f>
        <v>167606.40472430221</v>
      </c>
      <c r="P66" s="2"/>
      <c r="AH66" s="7"/>
      <c r="AJ66" s="7"/>
    </row>
    <row r="67" spans="1:36" x14ac:dyDescent="0.25">
      <c r="A67" s="1" t="s">
        <v>12</v>
      </c>
      <c r="I67" s="12">
        <f>STDEV(AC40:AC64)</f>
        <v>0.17465410556299205</v>
      </c>
      <c r="AI67" s="7"/>
    </row>
    <row r="68" spans="1:36" x14ac:dyDescent="0.25">
      <c r="A68" s="1" t="s">
        <v>13</v>
      </c>
      <c r="I68" s="13">
        <f>((1+I66)^(1/I75))-1</f>
        <v>6.4662263677421228E-2</v>
      </c>
    </row>
    <row r="69" spans="1:36" x14ac:dyDescent="0.25">
      <c r="A69" s="1" t="s">
        <v>83</v>
      </c>
      <c r="I69" s="31">
        <f>J60</f>
        <v>74998.896213342319</v>
      </c>
      <c r="O69" s="2"/>
      <c r="P69" s="2"/>
    </row>
    <row r="70" spans="1:36" x14ac:dyDescent="0.25">
      <c r="A70" s="1" t="s">
        <v>84</v>
      </c>
      <c r="I70" s="32">
        <f>K60</f>
        <v>0.28257467108892415</v>
      </c>
    </row>
    <row r="71" spans="1:36" x14ac:dyDescent="0.25">
      <c r="A71" s="1" t="s">
        <v>43</v>
      </c>
      <c r="I71" s="2">
        <f>O66</f>
        <v>167606.40472430221</v>
      </c>
    </row>
    <row r="72" spans="1:36" x14ac:dyDescent="0.25">
      <c r="A72" s="3" t="s">
        <v>85</v>
      </c>
      <c r="I72" s="33">
        <f>I65-Z65</f>
        <v>0</v>
      </c>
    </row>
    <row r="73" spans="1:36" x14ac:dyDescent="0.25">
      <c r="A73" s="3" t="s">
        <v>149</v>
      </c>
      <c r="I73" s="33">
        <f>((SUM(AA40:AA64)))-(I65-I39)</f>
        <v>0</v>
      </c>
    </row>
    <row r="74" spans="1:36" x14ac:dyDescent="0.25">
      <c r="A74" s="3" t="s">
        <v>148</v>
      </c>
      <c r="I74" s="33">
        <f>(SUM(O40:O64))-I71</f>
        <v>0</v>
      </c>
    </row>
    <row r="75" spans="1:36" x14ac:dyDescent="0.25">
      <c r="A75" s="3" t="s">
        <v>160</v>
      </c>
      <c r="I75" s="3">
        <f>COUNTA(I40:I64)</f>
        <v>25</v>
      </c>
    </row>
    <row r="76" spans="1:36" x14ac:dyDescent="0.25">
      <c r="A76" s="1" t="s">
        <v>106</v>
      </c>
      <c r="B76" s="63"/>
      <c r="C76" s="63"/>
      <c r="D76" s="63"/>
      <c r="E76" s="63"/>
      <c r="G76" s="63"/>
      <c r="H76" s="63"/>
      <c r="I76" s="86">
        <f>(SUM(B65:G65)/I65)</f>
        <v>1</v>
      </c>
    </row>
    <row r="77" spans="1:36" x14ac:dyDescent="0.25">
      <c r="A77" s="1" t="s">
        <v>107</v>
      </c>
      <c r="B77" s="63"/>
      <c r="C77" s="63"/>
      <c r="D77" s="63"/>
      <c r="E77" s="63"/>
      <c r="G77" s="63"/>
      <c r="H77" s="63"/>
      <c r="I77" s="86">
        <f>(H65/I65)</f>
        <v>0</v>
      </c>
    </row>
    <row r="78" spans="1:36" x14ac:dyDescent="0.25">
      <c r="A78" s="3" t="s">
        <v>108</v>
      </c>
      <c r="I78" s="3">
        <f>100%-(I76+I77)</f>
        <v>0</v>
      </c>
    </row>
    <row r="79" spans="1:36" x14ac:dyDescent="0.25">
      <c r="B79" s="2"/>
      <c r="D79" s="2"/>
      <c r="E79" s="2"/>
      <c r="G79" s="2"/>
      <c r="H79" s="2"/>
      <c r="I79" s="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84"/>
  <sheetViews>
    <sheetView topLeftCell="E1" zoomScaleNormal="100" workbookViewId="0">
      <selection activeCell="N1" sqref="N1"/>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50</v>
      </c>
      <c r="N1" s="83" t="s">
        <v>145</v>
      </c>
      <c r="O1" s="49"/>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N2" s="49"/>
      <c r="O2" s="49"/>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c r="N4" s="49">
        <f>'4.5% Withdrawals-No Rebalancing'!N4</f>
        <v>1993</v>
      </c>
      <c r="O4" s="50">
        <f>'4.5% Withdrawals-No Rebalancing'!O4</f>
        <v>0.03</v>
      </c>
      <c r="P4" s="44"/>
    </row>
    <row r="5" spans="1:16"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c r="N5" s="49">
        <f>'4.5% Withdrawals-No Rebalancing'!N5</f>
        <v>1994</v>
      </c>
      <c r="O5" s="50">
        <f>'4.5% Withdrawals-No Rebalancing'!O5</f>
        <v>2.8000000000000001E-2</v>
      </c>
      <c r="P5" s="44"/>
    </row>
    <row r="6" spans="1:16"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c r="N6" s="49">
        <f>'4.5% Withdrawals-No Rebalancing'!N6</f>
        <v>1995</v>
      </c>
      <c r="O6" s="50">
        <f>'4.5% Withdrawals-No Rebalancing'!O6</f>
        <v>2.5999999999999999E-2</v>
      </c>
      <c r="P6" s="44"/>
    </row>
    <row r="7" spans="1:16"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c r="N7" s="49">
        <f>'4.5% Withdrawals-No Rebalancing'!N7</f>
        <v>1996</v>
      </c>
      <c r="O7" s="50">
        <f>'4.5% Withdrawals-No Rebalancing'!O7</f>
        <v>2.5000000000000001E-2</v>
      </c>
      <c r="P7" s="44"/>
    </row>
    <row r="8" spans="1:16" x14ac:dyDescent="0.25">
      <c r="A8" s="17">
        <f>'Non-Rebalanced Portfolio'!A8</f>
        <v>1997</v>
      </c>
      <c r="B8" s="17">
        <f>'Non-Rebalanced Portfolio'!B8</f>
        <v>33.19</v>
      </c>
      <c r="C8" s="17">
        <f>'Non-Rebalanced Portfolio'!C8</f>
        <v>26.687000000000001</v>
      </c>
      <c r="D8" s="17"/>
      <c r="E8" s="17"/>
      <c r="F8" s="17">
        <f>'Non-Rebalanced Portfolio'!F8</f>
        <v>0</v>
      </c>
      <c r="G8" s="17"/>
      <c r="H8" s="17">
        <f>'Non-Rebalanced Portfolio'!H8</f>
        <v>9.44</v>
      </c>
      <c r="N8" s="49">
        <f>'4.5% Withdrawals-No Rebalancing'!N8</f>
        <v>1997</v>
      </c>
      <c r="O8" s="50">
        <f>'4.5% Withdrawals-No Rebalancing'!O8</f>
        <v>3.4000000000000002E-2</v>
      </c>
      <c r="P8" s="44"/>
    </row>
    <row r="9" spans="1:16" x14ac:dyDescent="0.25">
      <c r="A9" s="17">
        <f>'Non-Rebalanced Portfolio'!A9</f>
        <v>1998</v>
      </c>
      <c r="B9" s="17">
        <f>'Non-Rebalanced Portfolio'!B9</f>
        <v>28.66</v>
      </c>
      <c r="C9" s="17">
        <f>'Non-Rebalanced Portfolio'!C9</f>
        <v>8.3529999999999998</v>
      </c>
      <c r="D9" s="17"/>
      <c r="E9" s="17"/>
      <c r="F9" s="17">
        <f>'Non-Rebalanced Portfolio'!F9</f>
        <v>0</v>
      </c>
      <c r="G9" s="17"/>
      <c r="H9" s="17">
        <f>'Non-Rebalanced Portfolio'!H9</f>
        <v>8.58</v>
      </c>
      <c r="N9" s="49">
        <f>'4.5% Withdrawals-No Rebalancing'!N9</f>
        <v>1998</v>
      </c>
      <c r="O9" s="50">
        <f>'4.5% Withdrawals-No Rebalancing'!O9</f>
        <v>1.7000000000000001E-2</v>
      </c>
      <c r="P9" s="44"/>
    </row>
    <row r="10" spans="1:16" x14ac:dyDescent="0.25">
      <c r="A10" s="17">
        <f>'Non-Rebalanced Portfolio'!A10</f>
        <v>1999</v>
      </c>
      <c r="B10" s="17">
        <f>'Non-Rebalanced Portfolio'!B10</f>
        <v>21.07</v>
      </c>
      <c r="C10" s="17">
        <f>'Non-Rebalanced Portfolio'!C10</f>
        <v>0</v>
      </c>
      <c r="D10" s="17"/>
      <c r="E10" s="17"/>
      <c r="F10" s="17">
        <f>'Non-Rebalanced Portfolio'!F10</f>
        <v>0</v>
      </c>
      <c r="G10" s="17"/>
      <c r="H10" s="17">
        <f>'Non-Rebalanced Portfolio'!H10</f>
        <v>-0.76</v>
      </c>
      <c r="N10" s="49">
        <f>'4.5% Withdrawals-No Rebalancing'!N10</f>
        <v>1999</v>
      </c>
      <c r="O10" s="50">
        <f>'4.5% Withdrawals-No Rebalancing'!O10</f>
        <v>1.6E-2</v>
      </c>
      <c r="P10" s="44"/>
    </row>
    <row r="11" spans="1:16" x14ac:dyDescent="0.25">
      <c r="A11" s="17">
        <f>'Non-Rebalanced Portfolio'!A11</f>
        <v>2000</v>
      </c>
      <c r="B11" s="17">
        <f>'Non-Rebalanced Portfolio'!B11</f>
        <v>-9.06</v>
      </c>
      <c r="C11" s="17">
        <f>'Non-Rebalanced Portfolio'!C11</f>
        <v>0</v>
      </c>
      <c r="D11" s="17"/>
      <c r="E11" s="17"/>
      <c r="F11" s="17">
        <f>'Non-Rebalanced Portfolio'!F11</f>
        <v>0</v>
      </c>
      <c r="G11" s="17"/>
      <c r="H11" s="17">
        <f>'Non-Rebalanced Portfolio'!H11</f>
        <v>11.39</v>
      </c>
      <c r="N11" s="49">
        <f>'4.5% Withdrawals-No Rebalancing'!N11</f>
        <v>2000</v>
      </c>
      <c r="O11" s="50">
        <f>'4.5% Withdrawals-No Rebalancing'!O11</f>
        <v>2.7E-2</v>
      </c>
      <c r="P11" s="44"/>
    </row>
    <row r="12" spans="1:16" x14ac:dyDescent="0.25">
      <c r="A12" s="17">
        <f>'Non-Rebalanced Portfolio'!A12</f>
        <v>2001</v>
      </c>
      <c r="B12" s="17">
        <f>'Non-Rebalanced Portfolio'!B12</f>
        <v>-12.02</v>
      </c>
      <c r="C12" s="17">
        <f>'Non-Rebalanced Portfolio'!C12</f>
        <v>0</v>
      </c>
      <c r="D12" s="17"/>
      <c r="E12" s="17"/>
      <c r="F12" s="17">
        <f>'Non-Rebalanced Portfolio'!F12</f>
        <v>0</v>
      </c>
      <c r="G12" s="17"/>
      <c r="H12" s="17">
        <f>'Non-Rebalanced Portfolio'!H12</f>
        <v>8.43</v>
      </c>
      <c r="N12" s="49">
        <f>'4.5% Withdrawals-No Rebalancing'!N12</f>
        <v>2001</v>
      </c>
      <c r="O12" s="50">
        <f>'4.5% Withdrawals-No Rebalancing'!O12</f>
        <v>3.4000000000000002E-2</v>
      </c>
      <c r="P12" s="44"/>
    </row>
    <row r="13" spans="1:16" x14ac:dyDescent="0.25">
      <c r="A13" s="17">
        <f>'Non-Rebalanced Portfolio'!A13</f>
        <v>2002</v>
      </c>
      <c r="B13" s="17">
        <f>'Non-Rebalanced Portfolio'!B13</f>
        <v>-22.15</v>
      </c>
      <c r="C13" s="17">
        <f>'Non-Rebalanced Portfolio'!C13</f>
        <v>0</v>
      </c>
      <c r="D13" s="17"/>
      <c r="E13" s="17"/>
      <c r="F13" s="17"/>
      <c r="G13" s="18">
        <f>'Non-Rebalanced Portfolio'!G13</f>
        <v>-15.083</v>
      </c>
      <c r="H13" s="17">
        <f>'Non-Rebalanced Portfolio'!H13</f>
        <v>8.26</v>
      </c>
      <c r="N13" s="49">
        <f>'4.5% Withdrawals-No Rebalancing'!N13</f>
        <v>2002</v>
      </c>
      <c r="O13" s="50">
        <f>'4.5% Withdrawals-No Rebalancing'!O13</f>
        <v>1.6E-2</v>
      </c>
      <c r="P13" s="44"/>
    </row>
    <row r="14" spans="1:16" x14ac:dyDescent="0.25">
      <c r="A14" s="17">
        <f>'Non-Rebalanced Portfolio'!A14</f>
        <v>2003</v>
      </c>
      <c r="B14" s="17">
        <f>'Non-Rebalanced Portfolio'!B14</f>
        <v>28.5</v>
      </c>
      <c r="C14" s="17">
        <f>'Non-Rebalanced Portfolio'!C14</f>
        <v>0</v>
      </c>
      <c r="D14" s="17"/>
      <c r="E14" s="17"/>
      <c r="F14" s="17"/>
      <c r="G14" s="17">
        <f>'Non-Rebalanced Portfolio'!G14</f>
        <v>40.340000000000003</v>
      </c>
      <c r="H14" s="17">
        <f>'Non-Rebalanced Portfolio'!H14</f>
        <v>3.97</v>
      </c>
      <c r="N14" s="49">
        <f>'4.5% Withdrawals-No Rebalancing'!N14</f>
        <v>2003</v>
      </c>
      <c r="O14" s="50">
        <f>'4.5% Withdrawals-No Rebalancing'!O14</f>
        <v>2.5000000000000001E-2</v>
      </c>
      <c r="P14" s="44"/>
    </row>
    <row r="15" spans="1:16" x14ac:dyDescent="0.25">
      <c r="A15" s="17">
        <f>'Non-Rebalanced Portfolio'!A15</f>
        <v>2004</v>
      </c>
      <c r="B15" s="17">
        <f>'Non-Rebalanced Portfolio'!B15</f>
        <v>10.74</v>
      </c>
      <c r="C15" s="17"/>
      <c r="D15" s="18">
        <f>'Non-Rebalanced Portfolio'!D15</f>
        <v>20.353000000000002</v>
      </c>
      <c r="E15" s="18">
        <f>'Non-Rebalanced Portfolio'!E15</f>
        <v>19.896999999999998</v>
      </c>
      <c r="F15" s="17"/>
      <c r="G15" s="17">
        <f>'Non-Rebalanced Portfolio'!G15</f>
        <v>20.837</v>
      </c>
      <c r="H15" s="17">
        <f>'Non-Rebalanced Portfolio'!H15</f>
        <v>4.24</v>
      </c>
      <c r="N15" s="49">
        <f>'4.5% Withdrawals-No Rebalancing'!N15</f>
        <v>2004</v>
      </c>
      <c r="O15" s="50">
        <f>'4.5% Withdrawals-No Rebalancing'!O15</f>
        <v>0.02</v>
      </c>
      <c r="P15" s="44"/>
    </row>
    <row r="16" spans="1:16"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c r="N16" s="49">
        <f>'4.5% Withdrawals-No Rebalancing'!N16</f>
        <v>2005</v>
      </c>
      <c r="O16" s="50">
        <f>'4.5% Withdrawals-No Rebalancing'!O16</f>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9">
        <f>'4.5% Withdrawals-No Rebalancing'!N17</f>
        <v>2006</v>
      </c>
      <c r="O17" s="50">
        <f>'4.5% Withdrawals-No Rebalancing'!O17</f>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9">
        <f>'4.5% Withdrawals-No Rebalancing'!N18</f>
        <v>2007</v>
      </c>
      <c r="O18" s="50">
        <f>'4.5% Withdrawals-No Rebalancing'!O18</f>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9">
        <f>'4.5% Withdrawals-No Rebalancing'!N19</f>
        <v>2008</v>
      </c>
      <c r="O19" s="50">
        <f>'4.5% Withdrawals-No Rebalancing'!O19</f>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9">
        <f>'4.5% Withdrawals-No Rebalancing'!N20</f>
        <v>2009</v>
      </c>
      <c r="O20" s="50">
        <f>'4.5% Withdrawals-No Rebalancing'!O20</f>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9">
        <f>'4.5% Withdrawals-No Rebalancing'!N21</f>
        <v>2010</v>
      </c>
      <c r="O21" s="50">
        <f>'4.5% Withdrawals-No Rebalancing'!O21</f>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9">
        <f>'4.5% Withdrawals-No Rebalancing'!N22</f>
        <v>2011</v>
      </c>
      <c r="O22" s="50">
        <f>'4.5% Withdrawals-No Rebalancing'!O22</f>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9">
        <f>'4.5% Withdrawals-No Rebalancing'!N23</f>
        <v>2012</v>
      </c>
      <c r="O23" s="50">
        <f>'4.5% Withdrawals-No Rebalancing'!O23</f>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9">
        <f>'4.5% Withdrawals-No Rebalancing'!N24</f>
        <v>2013</v>
      </c>
      <c r="O24" s="50">
        <f>'4.5% Withdrawals-No Rebalancing'!O24</f>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9">
        <f>'4.5% Withdrawals-No Rebalancing'!N25</f>
        <v>2014</v>
      </c>
      <c r="O25" s="50">
        <f>'4.5% Withdrawals-No Rebalancing'!O25</f>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9">
        <f>'4.5% Withdrawals-No Rebalancing'!N26</f>
        <v>2015</v>
      </c>
      <c r="O26" s="50">
        <f>'4.5% Withdrawals-No Rebalancing'!O26</f>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9">
        <f>'4.5% Withdrawals-No Rebalancing'!N27</f>
        <v>2016</v>
      </c>
      <c r="O27" s="50">
        <f>'4.5% Withdrawals-No Rebalancing'!O27</f>
        <v>4.4000000000000003E-3</v>
      </c>
    </row>
    <row r="28" spans="1:16"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c r="N28" s="49">
        <f>'4.5% Withdrawals-No Rebalancing'!N28</f>
        <v>2017</v>
      </c>
      <c r="O28" s="50">
        <f>'4.5% Withdrawals-No Rebalancing'!O28</f>
        <v>1.7000000000000001E-2</v>
      </c>
    </row>
    <row r="29" spans="1:16"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9">
        <f>'4.5% Withdrawals-No Rebalancing'!N32</f>
        <v>2017</v>
      </c>
      <c r="O32" s="50">
        <f>'4.5% Withdrawals-No Rebalancing'!O32</f>
        <v>2.23E-2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42" x14ac:dyDescent="0.25">
      <c r="A36" s="20" t="s">
        <v>124</v>
      </c>
      <c r="N36" s="20" t="s">
        <v>25</v>
      </c>
      <c r="R36" s="20" t="s">
        <v>125</v>
      </c>
      <c r="AF36" s="20" t="s">
        <v>139</v>
      </c>
    </row>
    <row r="37" spans="1:4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Y37"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112</v>
      </c>
      <c r="AP37" s="5" t="s">
        <v>113</v>
      </c>
    </row>
    <row r="38" spans="1:4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ref="S38" si="3">B38</f>
        <v>VFINX</v>
      </c>
      <c r="T38" s="4" t="str">
        <f t="shared" ref="T38:T39" si="4">C38</f>
        <v>VEXMX</v>
      </c>
      <c r="U38" s="4" t="str">
        <f t="shared" ref="U38:U39" si="5">D38</f>
        <v>VIMSX</v>
      </c>
      <c r="V38" s="4" t="str">
        <f t="shared" ref="V38:V39" si="6">E38</f>
        <v>NAESX</v>
      </c>
      <c r="W38" s="4" t="str">
        <f t="shared" ref="W38:W39" si="7">F38</f>
        <v>VTRIX</v>
      </c>
      <c r="X38" s="4" t="str">
        <f t="shared" ref="X38:X39" si="8">G38</f>
        <v>VGTSX</v>
      </c>
      <c r="Y38" s="4" t="str">
        <f t="shared" ref="Y38:Y39" si="9">H38</f>
        <v>VBMFX</v>
      </c>
      <c r="Z38" s="5" t="str">
        <f t="shared" ref="Z38:Z39" si="10">I38</f>
        <v>Total</v>
      </c>
      <c r="AA38" s="5" t="s">
        <v>78</v>
      </c>
      <c r="AB38" s="5" t="s">
        <v>76</v>
      </c>
      <c r="AC38" s="5" t="s">
        <v>76</v>
      </c>
      <c r="AD38" s="5" t="s">
        <v>88</v>
      </c>
      <c r="AF38" t="s">
        <v>73</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71</v>
      </c>
      <c r="AO38" s="5" t="s">
        <v>113</v>
      </c>
      <c r="AP38" s="5" t="s">
        <v>88</v>
      </c>
    </row>
    <row r="39" spans="1:42" x14ac:dyDescent="0.25">
      <c r="A39" t="s">
        <v>72</v>
      </c>
      <c r="B39" s="2">
        <v>20000</v>
      </c>
      <c r="C39" s="2">
        <v>30000</v>
      </c>
      <c r="F39" s="2">
        <v>20000</v>
      </c>
      <c r="H39" s="2">
        <v>30000</v>
      </c>
      <c r="I39" s="2">
        <f>SUM(B39:H39)</f>
        <v>100000</v>
      </c>
      <c r="N39" s="21"/>
      <c r="R39" t="str">
        <f>A39</f>
        <v>Stating Balance</v>
      </c>
      <c r="S39" s="2">
        <f>B39</f>
        <v>20000</v>
      </c>
      <c r="T39" s="2">
        <f t="shared" si="4"/>
        <v>30000</v>
      </c>
      <c r="U39" s="2">
        <f t="shared" si="5"/>
        <v>0</v>
      </c>
      <c r="V39" s="2">
        <f t="shared" si="6"/>
        <v>0</v>
      </c>
      <c r="W39" s="2">
        <f t="shared" si="7"/>
        <v>20000</v>
      </c>
      <c r="X39" s="2">
        <f t="shared" si="8"/>
        <v>0</v>
      </c>
      <c r="Y39" s="2">
        <f t="shared" si="9"/>
        <v>30000</v>
      </c>
      <c r="Z39" s="2">
        <f t="shared" si="10"/>
        <v>100000</v>
      </c>
      <c r="AD39" s="2"/>
      <c r="AF39" s="21" t="s">
        <v>87</v>
      </c>
      <c r="AG39" s="6">
        <f t="shared" ref="AG39:AG50" si="11">S39/$Z39</f>
        <v>0.2</v>
      </c>
      <c r="AH39" s="6">
        <f t="shared" ref="AH39:AH50" si="12">T39/$Z39</f>
        <v>0.3</v>
      </c>
      <c r="AI39" s="23">
        <v>0.2</v>
      </c>
      <c r="AJ39" s="23">
        <v>0.1</v>
      </c>
      <c r="AK39" s="6">
        <f t="shared" ref="AK39:AK48" si="13">W39/$Z39</f>
        <v>0.2</v>
      </c>
      <c r="AL39" s="23">
        <v>0.2</v>
      </c>
      <c r="AM39" s="6">
        <f>Y39/$Z39</f>
        <v>0.3</v>
      </c>
      <c r="AN39" s="6">
        <f>Z39/$Z39</f>
        <v>1</v>
      </c>
      <c r="AO39" s="24"/>
    </row>
    <row r="40" spans="1:42" x14ac:dyDescent="0.25">
      <c r="A40">
        <f t="shared" ref="A40:A66" si="14">A4</f>
        <v>1993</v>
      </c>
      <c r="B40" s="2">
        <f>B39*(1+(B4/100))</f>
        <v>21978</v>
      </c>
      <c r="C40" s="2">
        <f>C39*(1+(C4/100))</f>
        <v>34347</v>
      </c>
      <c r="D40" s="2"/>
      <c r="E40" s="2"/>
      <c r="F40" s="2">
        <f>F39*(1+(F4/100))</f>
        <v>26098.799999999999</v>
      </c>
      <c r="G40" s="2"/>
      <c r="H40" s="2">
        <f>H39*(1+(H4/100))</f>
        <v>32904</v>
      </c>
      <c r="I40" s="2">
        <f>SUM(B40:H40)</f>
        <v>115327.8</v>
      </c>
      <c r="J40" s="2">
        <f>I40-I39</f>
        <v>15327.800000000003</v>
      </c>
      <c r="K40" s="6">
        <f>(J40/I39)</f>
        <v>0.15327800000000003</v>
      </c>
      <c r="L40" s="7">
        <f>K40+1</f>
        <v>1.153278</v>
      </c>
      <c r="N40">
        <f>A40</f>
        <v>1993</v>
      </c>
      <c r="O40" s="2">
        <f>I40*0.04</f>
        <v>4613.1120000000001</v>
      </c>
      <c r="P40" s="2"/>
      <c r="Q40" s="2"/>
      <c r="R40">
        <f>A40</f>
        <v>1993</v>
      </c>
      <c r="S40" s="2">
        <f>B40-($O40/4)</f>
        <v>20824.722000000002</v>
      </c>
      <c r="T40" s="2">
        <f>C40-($O40/4)</f>
        <v>33193.722000000002</v>
      </c>
      <c r="U40" s="2"/>
      <c r="V40" s="2"/>
      <c r="W40" s="2">
        <f t="shared" ref="W40:W48" si="15">F40-($O40/4)</f>
        <v>24945.522000000001</v>
      </c>
      <c r="X40" s="2"/>
      <c r="Y40" s="2">
        <f>H40-($O40/4)</f>
        <v>31750.722000000002</v>
      </c>
      <c r="Z40" s="2">
        <f>SUM(S40:Y40)</f>
        <v>110714.68799999999</v>
      </c>
      <c r="AA40" s="2">
        <f>Z40-Z39</f>
        <v>10714.687999999995</v>
      </c>
      <c r="AB40" s="6">
        <f>(AA40/Z39)</f>
        <v>0.10714687999999994</v>
      </c>
      <c r="AC40" s="7">
        <f>AB40+1</f>
        <v>1.1071468799999999</v>
      </c>
      <c r="AD40" s="2">
        <f>Z40-(I40-O40)</f>
        <v>0</v>
      </c>
      <c r="AF40">
        <f t="shared" ref="AF40:AF64" si="16">A40</f>
        <v>1993</v>
      </c>
      <c r="AG40" s="6">
        <f t="shared" si="11"/>
        <v>0.18809357977868305</v>
      </c>
      <c r="AH40" s="6">
        <f t="shared" si="12"/>
        <v>0.29981317384013223</v>
      </c>
      <c r="AI40" s="7"/>
      <c r="AJ40" s="7"/>
      <c r="AK40" s="6">
        <f t="shared" si="13"/>
        <v>0.22531357357029269</v>
      </c>
      <c r="AL40" s="7"/>
      <c r="AM40" s="6">
        <f t="shared" ref="AM40:AM64" si="17">Y40/$Z40</f>
        <v>0.28677967281089212</v>
      </c>
      <c r="AN40" s="6">
        <f>SUM(AG40:AM40)</f>
        <v>1</v>
      </c>
      <c r="AO40" s="7">
        <f>SUM(AG40:AL40)</f>
        <v>0.71322032718910799</v>
      </c>
      <c r="AP40" s="7">
        <f>AN40-(AO40+AM40)</f>
        <v>0</v>
      </c>
    </row>
    <row r="41" spans="1:42" x14ac:dyDescent="0.25">
      <c r="A41">
        <f t="shared" si="14"/>
        <v>1994</v>
      </c>
      <c r="B41" s="2">
        <f t="shared" ref="B41:B50" si="18">S40*(1+(B5/100))</f>
        <v>21070.453719600002</v>
      </c>
      <c r="C41" s="2">
        <f t="shared" ref="C41:C50" si="19">T40*(1+(C5/100))</f>
        <v>32608.184743920003</v>
      </c>
      <c r="D41" s="2"/>
      <c r="E41" s="2"/>
      <c r="F41" s="2">
        <f t="shared" ref="F41:F48" si="20">W40*(1+(F5/100))</f>
        <v>26256.409181100003</v>
      </c>
      <c r="G41" s="2"/>
      <c r="H41" s="2">
        <f t="shared" ref="H41:H66" si="21">Y40*(1+(H5/100))</f>
        <v>30906.152794800004</v>
      </c>
      <c r="I41" s="2">
        <f t="shared" ref="I41:I64" si="22">SUM(B41:H41)</f>
        <v>110841.20043942</v>
      </c>
      <c r="J41" s="2">
        <f t="shared" ref="J41:J64" si="23">I41-I40</f>
        <v>-4486.5995605799981</v>
      </c>
      <c r="K41" s="6">
        <f t="shared" ref="K41:K64" si="24">(J41/I40)</f>
        <v>-3.8903018704770212E-2</v>
      </c>
      <c r="L41" s="7">
        <f t="shared" ref="L41:L64" si="25">K41+1</f>
        <v>0.9610969812952298</v>
      </c>
      <c r="N41">
        <f t="shared" ref="N41:N64" si="26">A41</f>
        <v>1994</v>
      </c>
      <c r="O41" s="2">
        <f t="shared" ref="O41:O66" si="27">O40*(1+O5)</f>
        <v>4742.2791360000001</v>
      </c>
      <c r="P41" s="2"/>
      <c r="Q41" s="2"/>
      <c r="R41">
        <f t="shared" ref="R41:R48" si="28">A41</f>
        <v>1994</v>
      </c>
      <c r="S41" s="2">
        <f t="shared" ref="S41:S48" si="29">B41-($O41/4)</f>
        <v>19884.883935600003</v>
      </c>
      <c r="T41" s="2">
        <f t="shared" ref="T41:T48" si="30">C41-($O41/4)</f>
        <v>31422.614959920003</v>
      </c>
      <c r="U41" s="2"/>
      <c r="V41" s="2"/>
      <c r="W41" s="2">
        <f t="shared" si="15"/>
        <v>25070.839397100004</v>
      </c>
      <c r="X41" s="2"/>
      <c r="Y41" s="2">
        <f t="shared" ref="Y41:Y49" si="31">H41-($O41/4)</f>
        <v>29720.583010800005</v>
      </c>
      <c r="Z41" s="2">
        <f t="shared" ref="Z41:Z48" si="32">SUM(S41:Y41)</f>
        <v>106098.92130342002</v>
      </c>
      <c r="AA41" s="2">
        <f t="shared" ref="AA41:AA55" si="33">Z41-Z40</f>
        <v>-4615.7666965799726</v>
      </c>
      <c r="AB41" s="6">
        <f t="shared" ref="AB41:AB55" si="34">(AA41/Z40)</f>
        <v>-4.1690644484135411E-2</v>
      </c>
      <c r="AC41" s="7">
        <f t="shared" ref="AC41:AC64" si="35">AB41+1</f>
        <v>0.9583093555158646</v>
      </c>
      <c r="AD41" s="2">
        <f t="shared" ref="AD41:AD64" si="36">Z41-(I41-O41)</f>
        <v>0</v>
      </c>
      <c r="AF41">
        <f t="shared" si="16"/>
        <v>1994</v>
      </c>
      <c r="AG41" s="6">
        <f t="shared" si="11"/>
        <v>0.18741834215951664</v>
      </c>
      <c r="AH41" s="6">
        <f t="shared" si="12"/>
        <v>0.29616337823132155</v>
      </c>
      <c r="AI41" s="7"/>
      <c r="AJ41" s="7"/>
      <c r="AK41" s="6">
        <f t="shared" si="13"/>
        <v>0.23629683590658582</v>
      </c>
      <c r="AL41" s="7"/>
      <c r="AM41" s="6">
        <f t="shared" si="17"/>
        <v>0.28012144370257591</v>
      </c>
      <c r="AN41" s="6">
        <f t="shared" ref="AN41:AN64" si="37">SUM(AG41:AM41)</f>
        <v>1</v>
      </c>
      <c r="AO41" s="7">
        <f t="shared" ref="AO41:AO64" si="38">SUM(AG41:AL41)</f>
        <v>0.71987855629742403</v>
      </c>
      <c r="AP41" s="7">
        <f t="shared" ref="AP41:AP64" si="39">AN41-(AO41+AM41)</f>
        <v>0</v>
      </c>
    </row>
    <row r="42" spans="1:42" x14ac:dyDescent="0.25">
      <c r="A42">
        <f t="shared" si="14"/>
        <v>1995</v>
      </c>
      <c r="B42" s="2">
        <f t="shared" si="18"/>
        <v>27331.772969482205</v>
      </c>
      <c r="C42" s="2">
        <f t="shared" si="19"/>
        <v>42042.516137924162</v>
      </c>
      <c r="D42" s="2"/>
      <c r="E42" s="2"/>
      <c r="F42" s="2">
        <f t="shared" si="20"/>
        <v>27489.17256534427</v>
      </c>
      <c r="G42" s="2"/>
      <c r="H42" s="2">
        <f t="shared" si="21"/>
        <v>35123.785002163444</v>
      </c>
      <c r="I42" s="2">
        <f t="shared" ref="I42:I48" si="40">SUM(B42:H42)</f>
        <v>131987.24667491409</v>
      </c>
      <c r="J42" s="2">
        <f t="shared" si="23"/>
        <v>21146.046235494083</v>
      </c>
      <c r="K42" s="6">
        <f t="shared" si="24"/>
        <v>0.1907778529252884</v>
      </c>
      <c r="L42" s="7">
        <f t="shared" si="25"/>
        <v>1.1907778529252884</v>
      </c>
      <c r="N42">
        <f t="shared" si="26"/>
        <v>1995</v>
      </c>
      <c r="O42" s="2">
        <f t="shared" si="27"/>
        <v>4865.5783935360005</v>
      </c>
      <c r="P42" s="2"/>
      <c r="Q42" s="2"/>
      <c r="R42">
        <f t="shared" si="28"/>
        <v>1995</v>
      </c>
      <c r="S42" s="2">
        <f t="shared" si="29"/>
        <v>26115.378371098206</v>
      </c>
      <c r="T42" s="2">
        <f t="shared" si="30"/>
        <v>40826.12153954016</v>
      </c>
      <c r="U42" s="2"/>
      <c r="V42" s="2"/>
      <c r="W42" s="2">
        <f t="shared" si="15"/>
        <v>26272.777966960271</v>
      </c>
      <c r="X42" s="2"/>
      <c r="Y42" s="2">
        <f t="shared" si="31"/>
        <v>33907.390403779442</v>
      </c>
      <c r="Z42" s="2">
        <f t="shared" si="32"/>
        <v>127121.66828137808</v>
      </c>
      <c r="AA42" s="2">
        <f t="shared" si="33"/>
        <v>21022.746977958057</v>
      </c>
      <c r="AB42" s="6">
        <f t="shared" si="34"/>
        <v>0.19814289080128852</v>
      </c>
      <c r="AC42" s="7">
        <f t="shared" si="35"/>
        <v>1.1981428908012886</v>
      </c>
      <c r="AD42" s="2">
        <f t="shared" si="36"/>
        <v>0</v>
      </c>
      <c r="AF42">
        <f t="shared" si="16"/>
        <v>1995</v>
      </c>
      <c r="AG42" s="6">
        <f t="shared" si="11"/>
        <v>0.20543608909610117</v>
      </c>
      <c r="AH42" s="6">
        <f t="shared" si="12"/>
        <v>0.32115784894494448</v>
      </c>
      <c r="AI42" s="7"/>
      <c r="AJ42" s="7"/>
      <c r="AK42" s="6">
        <f t="shared" si="13"/>
        <v>0.20667426979330275</v>
      </c>
      <c r="AL42" s="7"/>
      <c r="AM42" s="6">
        <f t="shared" si="17"/>
        <v>0.26673179216565157</v>
      </c>
      <c r="AN42" s="6">
        <f t="shared" si="37"/>
        <v>0.99999999999999989</v>
      </c>
      <c r="AO42" s="7">
        <f t="shared" si="38"/>
        <v>0.73326820783434832</v>
      </c>
      <c r="AP42" s="7">
        <f t="shared" si="39"/>
        <v>0</v>
      </c>
    </row>
    <row r="43" spans="1:42" x14ac:dyDescent="0.25">
      <c r="A43">
        <f t="shared" si="14"/>
        <v>1996</v>
      </c>
      <c r="B43" s="2">
        <f t="shared" si="18"/>
        <v>32090.576942405478</v>
      </c>
      <c r="C43" s="2">
        <f t="shared" si="19"/>
        <v>48030.707207622807</v>
      </c>
      <c r="D43" s="2"/>
      <c r="E43" s="2"/>
      <c r="F43" s="2">
        <f t="shared" si="20"/>
        <v>28957.593147403943</v>
      </c>
      <c r="G43" s="2"/>
      <c r="H43" s="2">
        <f t="shared" si="21"/>
        <v>35121.274980234746</v>
      </c>
      <c r="I43" s="2">
        <f t="shared" si="40"/>
        <v>144200.15227766696</v>
      </c>
      <c r="J43" s="2">
        <f t="shared" si="23"/>
        <v>12212.905602752871</v>
      </c>
      <c r="K43" s="6">
        <f t="shared" si="24"/>
        <v>9.2530952121710516E-2</v>
      </c>
      <c r="L43" s="7">
        <f t="shared" si="25"/>
        <v>1.0925309521217106</v>
      </c>
      <c r="N43">
        <f t="shared" si="26"/>
        <v>1996</v>
      </c>
      <c r="O43" s="2">
        <f t="shared" si="27"/>
        <v>4987.2178533744</v>
      </c>
      <c r="P43" s="2"/>
      <c r="Q43" s="2"/>
      <c r="R43">
        <f t="shared" si="28"/>
        <v>1996</v>
      </c>
      <c r="S43" s="2">
        <f t="shared" si="29"/>
        <v>30843.772479061878</v>
      </c>
      <c r="T43" s="2">
        <f t="shared" si="30"/>
        <v>46783.902744279207</v>
      </c>
      <c r="U43" s="2"/>
      <c r="V43" s="2"/>
      <c r="W43" s="2">
        <f t="shared" si="15"/>
        <v>27710.788684060342</v>
      </c>
      <c r="X43" s="2"/>
      <c r="Y43" s="2">
        <f t="shared" si="31"/>
        <v>33874.470516891146</v>
      </c>
      <c r="Z43" s="2">
        <f t="shared" si="32"/>
        <v>139212.93442429259</v>
      </c>
      <c r="AA43" s="2">
        <f t="shared" si="33"/>
        <v>12091.266142914508</v>
      </c>
      <c r="AB43" s="6">
        <f t="shared" si="34"/>
        <v>9.5115697476145733E-2</v>
      </c>
      <c r="AC43" s="7">
        <f t="shared" si="35"/>
        <v>1.0951156974761458</v>
      </c>
      <c r="AD43" s="2">
        <f t="shared" si="36"/>
        <v>0</v>
      </c>
      <c r="AF43">
        <f t="shared" si="16"/>
        <v>1996</v>
      </c>
      <c r="AG43" s="6">
        <f t="shared" si="11"/>
        <v>0.22155823815232828</v>
      </c>
      <c r="AH43" s="6">
        <f t="shared" si="12"/>
        <v>0.33606002874482499</v>
      </c>
      <c r="AI43" s="7"/>
      <c r="AJ43" s="7"/>
      <c r="AK43" s="6">
        <f t="shared" si="13"/>
        <v>0.19905326181548275</v>
      </c>
      <c r="AL43" s="7"/>
      <c r="AM43" s="6">
        <f t="shared" si="17"/>
        <v>0.24332847128736385</v>
      </c>
      <c r="AN43" s="6">
        <f t="shared" si="37"/>
        <v>0.99999999999999978</v>
      </c>
      <c r="AO43" s="7">
        <f t="shared" si="38"/>
        <v>0.75667152871263599</v>
      </c>
      <c r="AP43" s="7">
        <f t="shared" si="39"/>
        <v>0</v>
      </c>
    </row>
    <row r="44" spans="1:42" x14ac:dyDescent="0.25">
      <c r="A44">
        <f t="shared" si="14"/>
        <v>1997</v>
      </c>
      <c r="B44" s="2">
        <f t="shared" si="18"/>
        <v>41080.820564862515</v>
      </c>
      <c r="C44" s="2">
        <f t="shared" si="19"/>
        <v>59269.122869644998</v>
      </c>
      <c r="D44" s="2"/>
      <c r="E44" s="2"/>
      <c r="F44" s="2">
        <f t="shared" si="20"/>
        <v>27710.788684060342</v>
      </c>
      <c r="G44" s="2"/>
      <c r="H44" s="2">
        <f t="shared" si="21"/>
        <v>37072.220533685671</v>
      </c>
      <c r="I44" s="2">
        <f t="shared" si="40"/>
        <v>165132.95265225353</v>
      </c>
      <c r="J44" s="2">
        <f t="shared" si="23"/>
        <v>20932.800374586572</v>
      </c>
      <c r="K44" s="6">
        <f t="shared" si="24"/>
        <v>0.14516489784476147</v>
      </c>
      <c r="L44" s="7">
        <f t="shared" si="25"/>
        <v>1.1451648978447615</v>
      </c>
      <c r="N44">
        <f t="shared" si="26"/>
        <v>1997</v>
      </c>
      <c r="O44" s="2">
        <f t="shared" si="27"/>
        <v>5156.7832603891293</v>
      </c>
      <c r="P44" s="2"/>
      <c r="Q44" s="2"/>
      <c r="R44">
        <f t="shared" si="28"/>
        <v>1997</v>
      </c>
      <c r="S44" s="2">
        <f t="shared" si="29"/>
        <v>39791.624749765237</v>
      </c>
      <c r="T44" s="2">
        <f t="shared" si="30"/>
        <v>57979.927054547719</v>
      </c>
      <c r="U44" s="2"/>
      <c r="V44" s="2"/>
      <c r="W44" s="2">
        <f t="shared" si="15"/>
        <v>26421.59286896306</v>
      </c>
      <c r="X44" s="2"/>
      <c r="Y44" s="2">
        <f t="shared" si="31"/>
        <v>35783.024718588393</v>
      </c>
      <c r="Z44" s="2">
        <f t="shared" si="32"/>
        <v>159976.16939186442</v>
      </c>
      <c r="AA44" s="2">
        <f t="shared" si="33"/>
        <v>20763.234967571829</v>
      </c>
      <c r="AB44" s="6">
        <f t="shared" si="34"/>
        <v>0.14914731201836268</v>
      </c>
      <c r="AC44" s="7">
        <f t="shared" si="35"/>
        <v>1.1491473120183626</v>
      </c>
      <c r="AD44" s="2">
        <f t="shared" si="36"/>
        <v>0</v>
      </c>
      <c r="AF44">
        <f t="shared" si="16"/>
        <v>1997</v>
      </c>
      <c r="AG44" s="6">
        <f t="shared" si="11"/>
        <v>0.24873470155604838</v>
      </c>
      <c r="AH44" s="6">
        <f t="shared" si="12"/>
        <v>0.36242852466685133</v>
      </c>
      <c r="AI44" s="7"/>
      <c r="AJ44" s="7"/>
      <c r="AK44" s="6">
        <f t="shared" si="13"/>
        <v>0.16515955450991521</v>
      </c>
      <c r="AL44" s="7"/>
      <c r="AM44" s="6">
        <f t="shared" si="17"/>
        <v>0.22367721926718503</v>
      </c>
      <c r="AN44" s="6">
        <f t="shared" si="37"/>
        <v>0.99999999999999978</v>
      </c>
      <c r="AO44" s="7">
        <f t="shared" si="38"/>
        <v>0.7763227807328148</v>
      </c>
      <c r="AP44" s="7">
        <f t="shared" si="39"/>
        <v>0</v>
      </c>
    </row>
    <row r="45" spans="1:42" x14ac:dyDescent="0.25">
      <c r="A45">
        <f t="shared" si="14"/>
        <v>1998</v>
      </c>
      <c r="B45" s="2">
        <f t="shared" si="18"/>
        <v>51195.904403047949</v>
      </c>
      <c r="C45" s="2">
        <f t="shared" si="19"/>
        <v>62822.990361414093</v>
      </c>
      <c r="D45" s="2"/>
      <c r="E45" s="2"/>
      <c r="F45" s="2">
        <f t="shared" si="20"/>
        <v>26421.59286896306</v>
      </c>
      <c r="G45" s="2"/>
      <c r="H45" s="2">
        <f t="shared" si="21"/>
        <v>38853.20823944328</v>
      </c>
      <c r="I45" s="2">
        <f t="shared" si="40"/>
        <v>179293.69587286838</v>
      </c>
      <c r="J45" s="2">
        <f t="shared" si="23"/>
        <v>14160.743220614851</v>
      </c>
      <c r="K45" s="6">
        <f t="shared" si="24"/>
        <v>8.5753588203775169E-2</v>
      </c>
      <c r="L45" s="7">
        <f t="shared" si="25"/>
        <v>1.0857535882037752</v>
      </c>
      <c r="N45">
        <f t="shared" si="26"/>
        <v>1998</v>
      </c>
      <c r="O45" s="2">
        <f t="shared" si="27"/>
        <v>5244.4485758157443</v>
      </c>
      <c r="P45" s="2"/>
      <c r="Q45" s="2"/>
      <c r="R45">
        <f t="shared" si="28"/>
        <v>1998</v>
      </c>
      <c r="S45" s="2">
        <f t="shared" si="29"/>
        <v>49884.792259094014</v>
      </c>
      <c r="T45" s="2">
        <f t="shared" si="30"/>
        <v>61511.878217460158</v>
      </c>
      <c r="U45" s="2"/>
      <c r="V45" s="2"/>
      <c r="W45" s="2">
        <f t="shared" si="15"/>
        <v>25110.480725009125</v>
      </c>
      <c r="X45" s="2"/>
      <c r="Y45" s="2">
        <f t="shared" si="31"/>
        <v>37542.096095489345</v>
      </c>
      <c r="Z45" s="2">
        <f t="shared" si="32"/>
        <v>174049.24729705264</v>
      </c>
      <c r="AA45" s="2">
        <f t="shared" si="33"/>
        <v>14073.077905188227</v>
      </c>
      <c r="AB45" s="6">
        <f t="shared" si="34"/>
        <v>8.7969839249719614E-2</v>
      </c>
      <c r="AC45" s="7">
        <f t="shared" si="35"/>
        <v>1.0879698392497197</v>
      </c>
      <c r="AD45" s="2">
        <f t="shared" si="36"/>
        <v>0</v>
      </c>
      <c r="AF45">
        <f t="shared" si="16"/>
        <v>1998</v>
      </c>
      <c r="AG45" s="6">
        <f t="shared" si="11"/>
        <v>0.28661308815633563</v>
      </c>
      <c r="AH45" s="6">
        <f t="shared" si="12"/>
        <v>0.35341651384723799</v>
      </c>
      <c r="AI45" s="7"/>
      <c r="AJ45" s="7"/>
      <c r="AK45" s="6">
        <f t="shared" si="13"/>
        <v>0.14427227416934854</v>
      </c>
      <c r="AL45" s="7"/>
      <c r="AM45" s="6">
        <f t="shared" si="17"/>
        <v>0.21569812382707779</v>
      </c>
      <c r="AN45" s="6">
        <f t="shared" si="37"/>
        <v>0.99999999999999989</v>
      </c>
      <c r="AO45" s="7">
        <f t="shared" si="38"/>
        <v>0.78430187617292213</v>
      </c>
      <c r="AP45" s="7">
        <f t="shared" si="39"/>
        <v>0</v>
      </c>
    </row>
    <row r="46" spans="1:42" x14ac:dyDescent="0.25">
      <c r="A46">
        <f t="shared" si="14"/>
        <v>1999</v>
      </c>
      <c r="B46" s="2">
        <f t="shared" si="18"/>
        <v>60395.517988085128</v>
      </c>
      <c r="C46" s="2">
        <f t="shared" si="19"/>
        <v>61511.878217460158</v>
      </c>
      <c r="D46" s="2"/>
      <c r="E46" s="2"/>
      <c r="F46" s="2">
        <f t="shared" si="20"/>
        <v>25110.480725009125</v>
      </c>
      <c r="G46" s="2"/>
      <c r="H46" s="2">
        <f t="shared" si="21"/>
        <v>37256.776165163625</v>
      </c>
      <c r="I46" s="2">
        <f t="shared" si="40"/>
        <v>184274.65309571801</v>
      </c>
      <c r="J46" s="2">
        <f t="shared" si="23"/>
        <v>4980.9572228496254</v>
      </c>
      <c r="K46" s="6">
        <f t="shared" si="24"/>
        <v>2.7780994744965648E-2</v>
      </c>
      <c r="L46" s="7">
        <f t="shared" si="25"/>
        <v>1.0277809947449656</v>
      </c>
      <c r="N46">
        <f t="shared" si="26"/>
        <v>1999</v>
      </c>
      <c r="O46" s="2">
        <f t="shared" si="27"/>
        <v>5328.3597530287961</v>
      </c>
      <c r="P46" s="2"/>
      <c r="Q46" s="2"/>
      <c r="R46">
        <f t="shared" si="28"/>
        <v>1999</v>
      </c>
      <c r="S46" s="2">
        <f t="shared" si="29"/>
        <v>59063.428049827926</v>
      </c>
      <c r="T46" s="2">
        <f t="shared" si="30"/>
        <v>60179.788279202956</v>
      </c>
      <c r="U46" s="2"/>
      <c r="V46" s="2"/>
      <c r="W46" s="2">
        <f t="shared" si="15"/>
        <v>23778.390786751926</v>
      </c>
      <c r="X46" s="2"/>
      <c r="Y46" s="2">
        <f t="shared" si="31"/>
        <v>35924.686226906422</v>
      </c>
      <c r="Z46" s="2">
        <f t="shared" si="32"/>
        <v>178946.29334268923</v>
      </c>
      <c r="AA46" s="2">
        <f t="shared" si="33"/>
        <v>4897.0460456365836</v>
      </c>
      <c r="AB46" s="6">
        <f t="shared" si="34"/>
        <v>2.8135979452290974E-2</v>
      </c>
      <c r="AC46" s="7">
        <f t="shared" si="35"/>
        <v>1.0281359794522911</v>
      </c>
      <c r="AD46" s="2">
        <f t="shared" si="36"/>
        <v>0</v>
      </c>
      <c r="AF46">
        <f t="shared" si="16"/>
        <v>1999</v>
      </c>
      <c r="AG46" s="6">
        <f t="shared" si="11"/>
        <v>0.33006231616499104</v>
      </c>
      <c r="AH46" s="6">
        <f t="shared" si="12"/>
        <v>0.33630083727946397</v>
      </c>
      <c r="AI46" s="7"/>
      <c r="AJ46" s="7"/>
      <c r="AK46" s="6">
        <f t="shared" si="13"/>
        <v>0.13288004094734374</v>
      </c>
      <c r="AL46" s="7"/>
      <c r="AM46" s="6">
        <f t="shared" si="17"/>
        <v>0.20075680560820128</v>
      </c>
      <c r="AN46" s="6">
        <f t="shared" si="37"/>
        <v>1</v>
      </c>
      <c r="AO46" s="7">
        <f t="shared" si="38"/>
        <v>0.79924319439179869</v>
      </c>
      <c r="AP46" s="7">
        <f t="shared" si="39"/>
        <v>0</v>
      </c>
    </row>
    <row r="47" spans="1:42" x14ac:dyDescent="0.25">
      <c r="A47">
        <f t="shared" si="14"/>
        <v>2000</v>
      </c>
      <c r="B47" s="2">
        <f t="shared" si="18"/>
        <v>53712.281468513516</v>
      </c>
      <c r="C47" s="2">
        <f t="shared" si="19"/>
        <v>60179.788279202956</v>
      </c>
      <c r="D47" s="2"/>
      <c r="E47" s="2"/>
      <c r="F47" s="2">
        <f t="shared" si="20"/>
        <v>23778.390786751926</v>
      </c>
      <c r="G47" s="2"/>
      <c r="H47" s="2">
        <f t="shared" si="21"/>
        <v>40016.507988151068</v>
      </c>
      <c r="I47" s="2">
        <f t="shared" si="40"/>
        <v>177686.96852261949</v>
      </c>
      <c r="J47" s="2">
        <f t="shared" si="23"/>
        <v>-6587.6845730985224</v>
      </c>
      <c r="K47" s="6">
        <f t="shared" si="24"/>
        <v>-3.5749271331834628E-2</v>
      </c>
      <c r="L47" s="7">
        <f t="shared" si="25"/>
        <v>0.96425072866816541</v>
      </c>
      <c r="N47">
        <f t="shared" si="26"/>
        <v>2000</v>
      </c>
      <c r="O47" s="2">
        <f t="shared" si="27"/>
        <v>5472.2254663605736</v>
      </c>
      <c r="P47" s="2"/>
      <c r="Q47" s="2"/>
      <c r="R47">
        <f t="shared" si="28"/>
        <v>2000</v>
      </c>
      <c r="S47" s="2">
        <f t="shared" si="29"/>
        <v>52344.225101923374</v>
      </c>
      <c r="T47" s="2">
        <f t="shared" si="30"/>
        <v>58811.731912612813</v>
      </c>
      <c r="U47" s="2"/>
      <c r="V47" s="2"/>
      <c r="W47" s="2">
        <f t="shared" si="15"/>
        <v>22410.334420161784</v>
      </c>
      <c r="X47" s="2"/>
      <c r="Y47" s="2">
        <f t="shared" si="31"/>
        <v>38648.451621560926</v>
      </c>
      <c r="Z47" s="2">
        <f t="shared" si="32"/>
        <v>172214.74305625891</v>
      </c>
      <c r="AA47" s="2">
        <f t="shared" si="33"/>
        <v>-6731.5502864303126</v>
      </c>
      <c r="AB47" s="6">
        <f t="shared" si="34"/>
        <v>-3.7617712894109118E-2</v>
      </c>
      <c r="AC47" s="7">
        <f t="shared" si="35"/>
        <v>0.96238228710589091</v>
      </c>
      <c r="AD47" s="2">
        <f t="shared" si="36"/>
        <v>0</v>
      </c>
      <c r="AF47">
        <f t="shared" si="16"/>
        <v>2000</v>
      </c>
      <c r="AG47" s="6">
        <f t="shared" si="11"/>
        <v>0.30394740991962355</v>
      </c>
      <c r="AH47" s="6">
        <f t="shared" si="12"/>
        <v>0.34150230618408939</v>
      </c>
      <c r="AI47" s="7"/>
      <c r="AJ47" s="7"/>
      <c r="AK47" s="6">
        <f t="shared" si="13"/>
        <v>0.13013017365673973</v>
      </c>
      <c r="AL47" s="7"/>
      <c r="AM47" s="6">
        <f t="shared" si="17"/>
        <v>0.22442011023954722</v>
      </c>
      <c r="AN47" s="6">
        <f t="shared" si="37"/>
        <v>0.99999999999999989</v>
      </c>
      <c r="AO47" s="7">
        <f t="shared" si="38"/>
        <v>0.77557988976045267</v>
      </c>
      <c r="AP47" s="7">
        <f t="shared" si="39"/>
        <v>0</v>
      </c>
    </row>
    <row r="48" spans="1:42" x14ac:dyDescent="0.25">
      <c r="A48">
        <f t="shared" si="14"/>
        <v>2001</v>
      </c>
      <c r="B48" s="2">
        <f t="shared" si="18"/>
        <v>46052.449244672185</v>
      </c>
      <c r="C48" s="2">
        <f t="shared" si="19"/>
        <v>58811.731912612813</v>
      </c>
      <c r="D48" s="2"/>
      <c r="E48" s="2"/>
      <c r="F48" s="2">
        <f t="shared" si="20"/>
        <v>22410.334420161784</v>
      </c>
      <c r="G48" s="2"/>
      <c r="H48" s="2">
        <f t="shared" si="21"/>
        <v>41906.516093258513</v>
      </c>
      <c r="I48" s="2">
        <f t="shared" si="40"/>
        <v>169181.0316707053</v>
      </c>
      <c r="J48" s="2">
        <f t="shared" si="23"/>
        <v>-8505.9368519141863</v>
      </c>
      <c r="K48" s="6">
        <f t="shared" si="24"/>
        <v>-4.7870347063923166E-2</v>
      </c>
      <c r="L48" s="7">
        <f t="shared" si="25"/>
        <v>0.95212965293607688</v>
      </c>
      <c r="N48">
        <f t="shared" si="26"/>
        <v>2001</v>
      </c>
      <c r="O48" s="2">
        <f t="shared" si="27"/>
        <v>5658.2811322168336</v>
      </c>
      <c r="P48" s="2"/>
      <c r="Q48" s="2"/>
      <c r="R48">
        <f t="shared" si="28"/>
        <v>2001</v>
      </c>
      <c r="S48" s="2">
        <f t="shared" si="29"/>
        <v>44637.878961617978</v>
      </c>
      <c r="T48" s="2">
        <f t="shared" si="30"/>
        <v>57397.161629558606</v>
      </c>
      <c r="U48" s="2"/>
      <c r="V48" s="2"/>
      <c r="W48" s="2">
        <f t="shared" si="15"/>
        <v>20995.764137107577</v>
      </c>
      <c r="X48" s="2"/>
      <c r="Y48" s="2">
        <f t="shared" si="31"/>
        <v>40491.945810204306</v>
      </c>
      <c r="Z48" s="2">
        <f t="shared" si="32"/>
        <v>163522.75053848847</v>
      </c>
      <c r="AA48" s="2">
        <f t="shared" si="33"/>
        <v>-8691.9925177704426</v>
      </c>
      <c r="AB48" s="6">
        <f t="shared" si="34"/>
        <v>-5.0471825835090973E-2</v>
      </c>
      <c r="AC48" s="7">
        <f t="shared" si="35"/>
        <v>0.94952817416490898</v>
      </c>
      <c r="AD48" s="2">
        <f t="shared" si="36"/>
        <v>0</v>
      </c>
      <c r="AF48">
        <f t="shared" si="16"/>
        <v>2001</v>
      </c>
      <c r="AG48" s="6">
        <f t="shared" si="11"/>
        <v>0.27297656634702661</v>
      </c>
      <c r="AH48" s="6">
        <f t="shared" si="12"/>
        <v>0.35100413514661982</v>
      </c>
      <c r="AI48" s="7"/>
      <c r="AJ48" s="7"/>
      <c r="AK48" s="6">
        <f t="shared" si="13"/>
        <v>0.12839659355023991</v>
      </c>
      <c r="AL48" s="6"/>
      <c r="AM48" s="6">
        <f t="shared" si="17"/>
        <v>0.24762270495611366</v>
      </c>
      <c r="AN48" s="6">
        <f t="shared" si="37"/>
        <v>1</v>
      </c>
      <c r="AO48" s="7">
        <f t="shared" si="38"/>
        <v>0.7523772950438864</v>
      </c>
      <c r="AP48" s="7">
        <f t="shared" si="39"/>
        <v>0</v>
      </c>
    </row>
    <row r="49" spans="1:42" x14ac:dyDescent="0.25">
      <c r="A49">
        <f t="shared" si="14"/>
        <v>2002</v>
      </c>
      <c r="B49" s="2">
        <f t="shared" si="18"/>
        <v>34750.588771619594</v>
      </c>
      <c r="C49" s="2">
        <f t="shared" si="19"/>
        <v>57397.161629558606</v>
      </c>
      <c r="D49" s="2"/>
      <c r="E49" s="2"/>
      <c r="F49" s="2"/>
      <c r="G49" s="2">
        <f>W48*(1+(G13/100))</f>
        <v>17828.97303230764</v>
      </c>
      <c r="H49" s="2">
        <f t="shared" si="21"/>
        <v>43836.580534127184</v>
      </c>
      <c r="I49" s="2">
        <f t="shared" si="22"/>
        <v>153813.30396761303</v>
      </c>
      <c r="J49" s="2">
        <f>I49-I48</f>
        <v>-15367.727703092271</v>
      </c>
      <c r="K49" s="6">
        <f>(J49/I48)</f>
        <v>-9.0835997105184238E-2</v>
      </c>
      <c r="L49" s="7">
        <f t="shared" si="25"/>
        <v>0.9091640028948158</v>
      </c>
      <c r="N49">
        <f t="shared" si="26"/>
        <v>2002</v>
      </c>
      <c r="O49" s="2">
        <f t="shared" si="27"/>
        <v>5748.8136303323026</v>
      </c>
      <c r="P49" s="2"/>
      <c r="Q49" s="2"/>
      <c r="R49">
        <f t="shared" ref="R49" si="41">A49</f>
        <v>2002</v>
      </c>
      <c r="S49" s="2">
        <f t="shared" ref="S49" si="42">B49-($O49/4)</f>
        <v>33313.38536403652</v>
      </c>
      <c r="T49" s="2">
        <f t="shared" ref="T49" si="43">C49-($O49/4)</f>
        <v>55959.958221975532</v>
      </c>
      <c r="U49" s="2"/>
      <c r="V49" s="2"/>
      <c r="W49" s="2"/>
      <c r="X49" s="2">
        <f>G49-(O49/4)</f>
        <v>16391.769624724566</v>
      </c>
      <c r="Y49" s="2">
        <f t="shared" si="31"/>
        <v>42399.37712654411</v>
      </c>
      <c r="Z49" s="2">
        <f t="shared" ref="Z49" si="44">SUM(S49:Y49)</f>
        <v>148064.49033728073</v>
      </c>
      <c r="AA49" s="2">
        <f>Z49-Z48</f>
        <v>-15458.26020120774</v>
      </c>
      <c r="AB49" s="6">
        <f>(AA49/Z48)</f>
        <v>-9.4532779997296576E-2</v>
      </c>
      <c r="AC49" s="7">
        <f t="shared" si="35"/>
        <v>0.90546722000270341</v>
      </c>
      <c r="AD49" s="2">
        <f t="shared" si="36"/>
        <v>0</v>
      </c>
      <c r="AF49">
        <f t="shared" si="16"/>
        <v>2002</v>
      </c>
      <c r="AG49" s="6">
        <f t="shared" si="11"/>
        <v>0.22499240221710767</v>
      </c>
      <c r="AH49" s="6">
        <f t="shared" si="12"/>
        <v>0.37794313879379582</v>
      </c>
      <c r="AI49" s="7"/>
      <c r="AJ49" s="7"/>
      <c r="AK49" s="6"/>
      <c r="AL49" s="6">
        <f t="shared" ref="AL49:AL55" si="45">X49/$Z49</f>
        <v>0.11070696010491943</v>
      </c>
      <c r="AM49" s="6">
        <f t="shared" si="17"/>
        <v>0.28635749888417705</v>
      </c>
      <c r="AN49" s="6">
        <f t="shared" si="37"/>
        <v>1</v>
      </c>
      <c r="AO49" s="7">
        <f t="shared" si="38"/>
        <v>0.71364250111582295</v>
      </c>
      <c r="AP49" s="7">
        <f t="shared" si="39"/>
        <v>0</v>
      </c>
    </row>
    <row r="50" spans="1:42" x14ac:dyDescent="0.25">
      <c r="A50">
        <f t="shared" si="14"/>
        <v>2003</v>
      </c>
      <c r="B50" s="2">
        <f t="shared" si="18"/>
        <v>42807.700192786928</v>
      </c>
      <c r="C50" s="2">
        <f t="shared" si="19"/>
        <v>55959.958221975532</v>
      </c>
      <c r="D50" s="2"/>
      <c r="E50" s="2"/>
      <c r="F50" s="2"/>
      <c r="G50" s="2">
        <f t="shared" ref="G50:G66" si="46">X49*(1+(G14/100))</f>
        <v>23004.209491338454</v>
      </c>
      <c r="H50" s="2">
        <f t="shared" si="21"/>
        <v>44082.632398467911</v>
      </c>
      <c r="I50" s="2">
        <f t="shared" si="22"/>
        <v>165854.50030456882</v>
      </c>
      <c r="J50" s="2">
        <f>I50-I49</f>
        <v>12041.196336955793</v>
      </c>
      <c r="K50" s="6">
        <f>(J50/I49)</f>
        <v>7.8284491824525071E-2</v>
      </c>
      <c r="L50" s="7">
        <f t="shared" si="25"/>
        <v>1.0782844918245251</v>
      </c>
      <c r="N50">
        <f t="shared" si="26"/>
        <v>2003</v>
      </c>
      <c r="O50" s="2">
        <f t="shared" si="27"/>
        <v>5892.5339710906101</v>
      </c>
      <c r="P50" s="2"/>
      <c r="Q50" s="2"/>
      <c r="R50">
        <f t="shared" ref="R50:R52" si="47">A50</f>
        <v>2003</v>
      </c>
      <c r="S50" s="2">
        <f>B50-($O50/4)</f>
        <v>41334.566700014278</v>
      </c>
      <c r="T50" s="2">
        <f>C50-($O50/4)</f>
        <v>54486.824729202883</v>
      </c>
      <c r="U50" s="2"/>
      <c r="V50" s="2"/>
      <c r="W50" s="2"/>
      <c r="X50" s="2">
        <f>G50-($O50/4)</f>
        <v>21531.075998565801</v>
      </c>
      <c r="Y50" s="2">
        <f>H50-($O50/4)</f>
        <v>42609.498905695262</v>
      </c>
      <c r="Z50" s="2">
        <f t="shared" ref="Z50:Z52" si="48">SUM(S50:Y50)</f>
        <v>159961.96633347822</v>
      </c>
      <c r="AA50" s="2">
        <f>Z50-Z49</f>
        <v>11897.475996197492</v>
      </c>
      <c r="AB50" s="6">
        <f>(AA50/Z49)</f>
        <v>8.0353337718556683E-2</v>
      </c>
      <c r="AC50" s="7">
        <f t="shared" si="35"/>
        <v>1.0803533377185568</v>
      </c>
      <c r="AD50" s="2">
        <f t="shared" si="36"/>
        <v>0</v>
      </c>
      <c r="AF50">
        <f t="shared" si="16"/>
        <v>2003</v>
      </c>
      <c r="AG50" s="6">
        <f t="shared" si="11"/>
        <v>0.25840246683291379</v>
      </c>
      <c r="AH50" s="6">
        <f t="shared" si="12"/>
        <v>0.34062362434087812</v>
      </c>
      <c r="AI50" s="7"/>
      <c r="AJ50" s="7"/>
      <c r="AK50" s="7"/>
      <c r="AL50" s="6">
        <f t="shared" si="45"/>
        <v>0.13460122110326667</v>
      </c>
      <c r="AM50" s="6">
        <f t="shared" si="17"/>
        <v>0.26637268772294143</v>
      </c>
      <c r="AN50" s="6">
        <f t="shared" si="37"/>
        <v>1</v>
      </c>
      <c r="AO50" s="7">
        <f t="shared" si="38"/>
        <v>0.73362731227705857</v>
      </c>
      <c r="AP50" s="7">
        <f t="shared" si="39"/>
        <v>0</v>
      </c>
    </row>
    <row r="51" spans="1:42" x14ac:dyDescent="0.25">
      <c r="A51">
        <f t="shared" si="14"/>
        <v>2004</v>
      </c>
      <c r="B51" s="2">
        <f t="shared" ref="B51:B66" si="49">S50*(1+(B15/100))</f>
        <v>45773.899163595808</v>
      </c>
      <c r="C51" s="2"/>
      <c r="D51" s="2">
        <f>($T50*0.67)*(1+(D15/100))</f>
        <v>43936.273871446159</v>
      </c>
      <c r="E51" s="2">
        <f>($T50*0.33)*(1+(E15/100))</f>
        <v>21558.262521038891</v>
      </c>
      <c r="F51" s="2"/>
      <c r="G51" s="2">
        <f t="shared" si="46"/>
        <v>26017.506304386956</v>
      </c>
      <c r="H51" s="2">
        <f t="shared" si="21"/>
        <v>44416.141659296743</v>
      </c>
      <c r="I51" s="2">
        <f t="shared" si="22"/>
        <v>181702.08351976454</v>
      </c>
      <c r="J51" s="2">
        <f t="shared" si="23"/>
        <v>15847.583215195715</v>
      </c>
      <c r="K51" s="6">
        <f t="shared" si="24"/>
        <v>9.5551119722972991E-2</v>
      </c>
      <c r="L51" s="7">
        <f t="shared" si="25"/>
        <v>1.095551119722973</v>
      </c>
      <c r="N51">
        <f t="shared" si="26"/>
        <v>2004</v>
      </c>
      <c r="O51" s="2">
        <f t="shared" si="27"/>
        <v>6010.384650512422</v>
      </c>
      <c r="P51" s="2"/>
      <c r="Q51" s="2"/>
      <c r="R51">
        <f t="shared" si="47"/>
        <v>2004</v>
      </c>
      <c r="S51" s="2">
        <f>B51-($O51/5)</f>
        <v>44571.822233493323</v>
      </c>
      <c r="T51" s="2"/>
      <c r="U51" s="2">
        <f>D51-($O51/5)</f>
        <v>42734.196941343675</v>
      </c>
      <c r="V51" s="2">
        <f>E51-($O51/5)</f>
        <v>20356.185590936406</v>
      </c>
      <c r="W51" s="2"/>
      <c r="X51" s="2">
        <f>G51-($O51/5)</f>
        <v>24815.429374284471</v>
      </c>
      <c r="Y51" s="2">
        <f>H51-($O51/5)</f>
        <v>43214.064729194259</v>
      </c>
      <c r="Z51" s="2">
        <f t="shared" si="48"/>
        <v>175691.69886925211</v>
      </c>
      <c r="AA51" s="2">
        <f t="shared" si="33"/>
        <v>15729.732535773888</v>
      </c>
      <c r="AB51" s="6">
        <f t="shared" si="34"/>
        <v>9.8334203412963631E-2</v>
      </c>
      <c r="AC51" s="7">
        <f t="shared" si="35"/>
        <v>1.0983342034129637</v>
      </c>
      <c r="AD51" s="2">
        <f t="shared" si="36"/>
        <v>0</v>
      </c>
      <c r="AF51">
        <f t="shared" si="16"/>
        <v>2004</v>
      </c>
      <c r="AG51" s="6">
        <f t="shared" ref="AG51:AG64" si="50">S51/$Z51</f>
        <v>0.25369338745288811</v>
      </c>
      <c r="AH51" s="7"/>
      <c r="AI51" s="6">
        <f>U51/$Z51</f>
        <v>0.24323401285535981</v>
      </c>
      <c r="AJ51" s="6">
        <f>V51/$Z51</f>
        <v>0.1158631040734899</v>
      </c>
      <c r="AK51" s="7"/>
      <c r="AL51" s="6">
        <f t="shared" si="45"/>
        <v>0.14124417678237519</v>
      </c>
      <c r="AM51" s="6">
        <f t="shared" si="17"/>
        <v>0.2459653188358871</v>
      </c>
      <c r="AN51" s="6">
        <f t="shared" si="37"/>
        <v>1</v>
      </c>
      <c r="AO51" s="7">
        <f t="shared" si="38"/>
        <v>0.75403468116411299</v>
      </c>
      <c r="AP51" s="7">
        <f t="shared" si="39"/>
        <v>0</v>
      </c>
    </row>
    <row r="52" spans="1:42" x14ac:dyDescent="0.25">
      <c r="A52">
        <f t="shared" si="14"/>
        <v>2005</v>
      </c>
      <c r="B52" s="2">
        <f t="shared" si="49"/>
        <v>46697.898154030961</v>
      </c>
      <c r="C52" s="2"/>
      <c r="D52" s="2">
        <f t="shared" ref="D52:D66" si="51">U51*(1+(D16/100))</f>
        <v>48687.497917242261</v>
      </c>
      <c r="E52" s="2">
        <f t="shared" ref="E52:E66" si="52">V51*(1+(E16/100))</f>
        <v>21855.011535997055</v>
      </c>
      <c r="F52" s="2"/>
      <c r="G52" s="2">
        <f t="shared" si="46"/>
        <v>28679.439882154307</v>
      </c>
      <c r="H52" s="2">
        <f t="shared" si="21"/>
        <v>44251.202282694925</v>
      </c>
      <c r="I52" s="2">
        <f t="shared" si="22"/>
        <v>190171.0497721195</v>
      </c>
      <c r="J52" s="2">
        <f t="shared" si="23"/>
        <v>8468.9662523549632</v>
      </c>
      <c r="K52" s="6">
        <f t="shared" si="24"/>
        <v>4.6609076177344749E-2</v>
      </c>
      <c r="L52" s="7">
        <f t="shared" si="25"/>
        <v>1.0466090761773448</v>
      </c>
      <c r="N52">
        <f t="shared" si="26"/>
        <v>2005</v>
      </c>
      <c r="O52" s="2">
        <f t="shared" si="27"/>
        <v>6208.7273439793316</v>
      </c>
      <c r="P52" s="2"/>
      <c r="Q52" s="2"/>
      <c r="R52">
        <f t="shared" si="47"/>
        <v>2005</v>
      </c>
      <c r="S52" s="2">
        <f t="shared" ref="S52:S64" si="53">B52-($O52/5)</f>
        <v>45456.152685235094</v>
      </c>
      <c r="T52" s="2"/>
      <c r="U52" s="2">
        <f t="shared" ref="U52:U64" si="54">D52-($O52/5)</f>
        <v>47445.752448446394</v>
      </c>
      <c r="V52" s="2">
        <f t="shared" ref="V52:V64" si="55">E52-($O52/5)</f>
        <v>20613.266067201188</v>
      </c>
      <c r="W52" s="2"/>
      <c r="X52" s="2">
        <f t="shared" ref="X52:X64" si="56">G52-($O52/5)</f>
        <v>27437.69441335844</v>
      </c>
      <c r="Y52" s="2">
        <f t="shared" ref="Y52:Y64" si="57">H52-($O52/5)</f>
        <v>43009.456813899058</v>
      </c>
      <c r="Z52" s="2">
        <f t="shared" si="48"/>
        <v>183962.32242814015</v>
      </c>
      <c r="AA52" s="2">
        <f t="shared" si="33"/>
        <v>8270.6235588880372</v>
      </c>
      <c r="AB52" s="6">
        <f t="shared" si="34"/>
        <v>4.7074640476001926E-2</v>
      </c>
      <c r="AC52" s="7">
        <f t="shared" si="35"/>
        <v>1.0470746404760018</v>
      </c>
      <c r="AD52" s="2">
        <f t="shared" si="36"/>
        <v>0</v>
      </c>
      <c r="AF52">
        <f t="shared" si="16"/>
        <v>2005</v>
      </c>
      <c r="AG52" s="6">
        <f t="shared" si="50"/>
        <v>0.24709490555051727</v>
      </c>
      <c r="AH52" s="7"/>
      <c r="AI52" s="6">
        <f t="shared" ref="AI52:AI64" si="58">U52/$Z52</f>
        <v>0.25791016237566677</v>
      </c>
      <c r="AJ52" s="6">
        <f t="shared" ref="AJ52:AJ64" si="59">V52/$Z52</f>
        <v>0.11205156466348264</v>
      </c>
      <c r="AK52" s="7"/>
      <c r="AL52" s="6">
        <f t="shared" si="45"/>
        <v>0.14914844545994588</v>
      </c>
      <c r="AM52" s="6">
        <f t="shared" si="17"/>
        <v>0.23379492195038756</v>
      </c>
      <c r="AN52" s="6">
        <f t="shared" si="37"/>
        <v>1.0000000000000002</v>
      </c>
      <c r="AO52" s="7">
        <f t="shared" si="38"/>
        <v>0.76620507804961258</v>
      </c>
      <c r="AP52" s="7">
        <f t="shared" si="39"/>
        <v>0</v>
      </c>
    </row>
    <row r="53" spans="1:42" x14ac:dyDescent="0.25">
      <c r="A53">
        <f t="shared" si="14"/>
        <v>2006</v>
      </c>
      <c r="B53" s="2">
        <f t="shared" si="49"/>
        <v>52565.494965205864</v>
      </c>
      <c r="C53" s="2"/>
      <c r="D53" s="2">
        <f t="shared" si="51"/>
        <v>53896.951408861649</v>
      </c>
      <c r="E53" s="2">
        <f t="shared" si="52"/>
        <v>23840.479002682208</v>
      </c>
      <c r="F53" s="2"/>
      <c r="G53" s="2">
        <f t="shared" si="46"/>
        <v>34746.273074244731</v>
      </c>
      <c r="H53" s="2">
        <f t="shared" si="21"/>
        <v>44845.960619852543</v>
      </c>
      <c r="I53" s="2">
        <f t="shared" si="22"/>
        <v>209895.15907084697</v>
      </c>
      <c r="J53" s="2">
        <f t="shared" si="23"/>
        <v>19724.109298727475</v>
      </c>
      <c r="K53" s="6">
        <f t="shared" si="24"/>
        <v>0.10371772844690463</v>
      </c>
      <c r="L53" s="7">
        <f t="shared" si="25"/>
        <v>1.1037177284469046</v>
      </c>
      <c r="N53">
        <f t="shared" si="26"/>
        <v>2006</v>
      </c>
      <c r="O53" s="2">
        <f t="shared" si="27"/>
        <v>6413.6153463306491</v>
      </c>
      <c r="P53" s="2"/>
      <c r="Q53" s="2"/>
      <c r="R53">
        <f t="shared" ref="R53:R64" si="60">A53</f>
        <v>2006</v>
      </c>
      <c r="S53" s="2">
        <f t="shared" si="53"/>
        <v>51282.771895939732</v>
      </c>
      <c r="T53" s="2"/>
      <c r="U53" s="2">
        <f t="shared" si="54"/>
        <v>52614.228339595516</v>
      </c>
      <c r="V53" s="2">
        <f t="shared" si="55"/>
        <v>22557.75593341608</v>
      </c>
      <c r="W53" s="2"/>
      <c r="X53" s="2">
        <f t="shared" si="56"/>
        <v>33463.550004978599</v>
      </c>
      <c r="Y53" s="2">
        <f t="shared" si="57"/>
        <v>43563.237550586411</v>
      </c>
      <c r="Z53" s="2">
        <f t="shared" ref="Z53:Z64" si="61">SUM(S53:Y53)</f>
        <v>203481.54372451632</v>
      </c>
      <c r="AA53" s="2">
        <f t="shared" si="33"/>
        <v>19519.22129637617</v>
      </c>
      <c r="AB53" s="6">
        <f t="shared" si="34"/>
        <v>0.10610445138297719</v>
      </c>
      <c r="AC53" s="7">
        <f t="shared" si="35"/>
        <v>1.1061044513829772</v>
      </c>
      <c r="AD53" s="2">
        <f t="shared" si="36"/>
        <v>0</v>
      </c>
      <c r="AF53">
        <f t="shared" si="16"/>
        <v>2006</v>
      </c>
      <c r="AG53" s="6">
        <f t="shared" si="50"/>
        <v>0.25202665046304623</v>
      </c>
      <c r="AH53" s="7"/>
      <c r="AI53" s="6">
        <f t="shared" si="58"/>
        <v>0.25857002741647833</v>
      </c>
      <c r="AJ53" s="6">
        <f t="shared" si="59"/>
        <v>0.11085897777518298</v>
      </c>
      <c r="AK53" s="7"/>
      <c r="AL53" s="6">
        <f t="shared" si="45"/>
        <v>0.16445496428060943</v>
      </c>
      <c r="AM53" s="6">
        <f t="shared" si="17"/>
        <v>0.21408938006468312</v>
      </c>
      <c r="AN53" s="6">
        <f t="shared" si="37"/>
        <v>1</v>
      </c>
      <c r="AO53" s="7">
        <f t="shared" si="38"/>
        <v>0.78591061993531697</v>
      </c>
      <c r="AP53" s="7">
        <f t="shared" si="39"/>
        <v>0</v>
      </c>
    </row>
    <row r="54" spans="1:42" x14ac:dyDescent="0.25">
      <c r="A54">
        <f t="shared" si="14"/>
        <v>2007</v>
      </c>
      <c r="B54" s="2">
        <f t="shared" si="49"/>
        <v>54046.913301130888</v>
      </c>
      <c r="C54" s="2"/>
      <c r="D54" s="2">
        <f t="shared" si="51"/>
        <v>55782.131027922565</v>
      </c>
      <c r="E54" s="2">
        <f t="shared" si="52"/>
        <v>22818.523592006371</v>
      </c>
      <c r="F54" s="2"/>
      <c r="G54" s="2">
        <f t="shared" si="46"/>
        <v>38657.762236751376</v>
      </c>
      <c r="H54" s="2">
        <f t="shared" si="21"/>
        <v>46577.813589086989</v>
      </c>
      <c r="I54" s="2">
        <f t="shared" si="22"/>
        <v>217883.14374689822</v>
      </c>
      <c r="J54" s="2">
        <f t="shared" si="23"/>
        <v>7987.9846760512446</v>
      </c>
      <c r="K54" s="6">
        <f t="shared" si="24"/>
        <v>3.8057021950444414E-2</v>
      </c>
      <c r="L54" s="7">
        <f t="shared" si="25"/>
        <v>1.0380570219504444</v>
      </c>
      <c r="N54">
        <f t="shared" si="26"/>
        <v>2007</v>
      </c>
      <c r="O54" s="2">
        <f t="shared" si="27"/>
        <v>6573.9557299889148</v>
      </c>
      <c r="P54" s="2"/>
      <c r="Q54" s="2"/>
      <c r="R54">
        <f t="shared" si="60"/>
        <v>2007</v>
      </c>
      <c r="S54" s="2">
        <f t="shared" si="53"/>
        <v>52732.122155133104</v>
      </c>
      <c r="T54" s="2"/>
      <c r="U54" s="2">
        <f t="shared" si="54"/>
        <v>54467.339881924781</v>
      </c>
      <c r="V54" s="2">
        <f t="shared" si="55"/>
        <v>21503.732446008587</v>
      </c>
      <c r="W54" s="2"/>
      <c r="X54" s="2">
        <f t="shared" si="56"/>
        <v>37342.971090753592</v>
      </c>
      <c r="Y54" s="2">
        <f t="shared" si="57"/>
        <v>45263.022443089205</v>
      </c>
      <c r="Z54" s="2">
        <f t="shared" si="61"/>
        <v>211309.18801690926</v>
      </c>
      <c r="AA54" s="2">
        <f t="shared" si="33"/>
        <v>7827.6442923929426</v>
      </c>
      <c r="AB54" s="6">
        <f t="shared" si="34"/>
        <v>3.8468571395302596E-2</v>
      </c>
      <c r="AC54" s="7">
        <f t="shared" si="35"/>
        <v>1.0384685713953026</v>
      </c>
      <c r="AD54" s="2">
        <f t="shared" si="36"/>
        <v>0</v>
      </c>
      <c r="AF54">
        <f t="shared" si="16"/>
        <v>2007</v>
      </c>
      <c r="AG54" s="6">
        <f t="shared" si="50"/>
        <v>0.24954959436460189</v>
      </c>
      <c r="AH54" s="7"/>
      <c r="AI54" s="6">
        <f t="shared" si="58"/>
        <v>0.25776134200830975</v>
      </c>
      <c r="AJ54" s="6">
        <f t="shared" si="59"/>
        <v>0.10176430399367124</v>
      </c>
      <c r="AK54" s="7"/>
      <c r="AL54" s="6">
        <f t="shared" si="45"/>
        <v>0.17672194683633613</v>
      </c>
      <c r="AM54" s="6">
        <f t="shared" si="17"/>
        <v>0.214202812797081</v>
      </c>
      <c r="AN54" s="6">
        <f t="shared" si="37"/>
        <v>0.99999999999999989</v>
      </c>
      <c r="AO54" s="7">
        <f t="shared" si="38"/>
        <v>0.78579718720291891</v>
      </c>
      <c r="AP54" s="7">
        <f t="shared" si="39"/>
        <v>0</v>
      </c>
    </row>
    <row r="55" spans="1:42" x14ac:dyDescent="0.25">
      <c r="A55">
        <f t="shared" si="14"/>
        <v>2008</v>
      </c>
      <c r="B55" s="2">
        <f t="shared" si="49"/>
        <v>33210.690533302826</v>
      </c>
      <c r="C55" s="2"/>
      <c r="D55" s="2">
        <f t="shared" si="51"/>
        <v>31686.919649708565</v>
      </c>
      <c r="E55" s="2">
        <f t="shared" si="52"/>
        <v>13747.336152733289</v>
      </c>
      <c r="F55" s="2"/>
      <c r="G55" s="2">
        <f t="shared" si="46"/>
        <v>20874.347410020349</v>
      </c>
      <c r="H55" s="2">
        <f t="shared" si="21"/>
        <v>47548.805076465207</v>
      </c>
      <c r="I55" s="2">
        <f t="shared" si="22"/>
        <v>147068.09882223024</v>
      </c>
      <c r="J55" s="2">
        <f t="shared" si="23"/>
        <v>-70815.044924667978</v>
      </c>
      <c r="K55" s="6">
        <f t="shared" si="24"/>
        <v>-0.32501387535939708</v>
      </c>
      <c r="L55" s="7">
        <f t="shared" si="25"/>
        <v>0.67498612464060292</v>
      </c>
      <c r="N55">
        <f t="shared" si="26"/>
        <v>2008</v>
      </c>
      <c r="O55" s="2">
        <f t="shared" si="27"/>
        <v>6843.4879149184599</v>
      </c>
      <c r="P55" s="2"/>
      <c r="Q55" s="2"/>
      <c r="R55">
        <f t="shared" si="60"/>
        <v>2008</v>
      </c>
      <c r="S55" s="2">
        <f t="shared" si="53"/>
        <v>31841.992950319134</v>
      </c>
      <c r="T55" s="2"/>
      <c r="U55" s="2">
        <f t="shared" si="54"/>
        <v>30318.222066724873</v>
      </c>
      <c r="V55" s="2">
        <f t="shared" si="55"/>
        <v>12378.638569749597</v>
      </c>
      <c r="W55" s="2"/>
      <c r="X55" s="2">
        <f t="shared" si="56"/>
        <v>19505.649827036657</v>
      </c>
      <c r="Y55" s="2">
        <f t="shared" si="57"/>
        <v>46180.107493481511</v>
      </c>
      <c r="Z55" s="2">
        <f t="shared" si="61"/>
        <v>140224.61090731178</v>
      </c>
      <c r="AA55" s="2">
        <f t="shared" si="33"/>
        <v>-71084.577109597478</v>
      </c>
      <c r="AB55" s="6">
        <f t="shared" si="34"/>
        <v>-0.33640078681249386</v>
      </c>
      <c r="AC55" s="7">
        <f t="shared" si="35"/>
        <v>0.66359921318750614</v>
      </c>
      <c r="AD55" s="2">
        <f t="shared" si="36"/>
        <v>0</v>
      </c>
      <c r="AF55">
        <f t="shared" si="16"/>
        <v>2008</v>
      </c>
      <c r="AG55" s="6">
        <f t="shared" si="50"/>
        <v>0.22707849031841232</v>
      </c>
      <c r="AH55" s="7"/>
      <c r="AI55" s="6">
        <f t="shared" si="58"/>
        <v>0.21621184662630416</v>
      </c>
      <c r="AJ55" s="6">
        <f t="shared" si="59"/>
        <v>8.8277218169154736E-2</v>
      </c>
      <c r="AK55" s="7"/>
      <c r="AL55" s="6">
        <f t="shared" si="45"/>
        <v>0.1391028985627199</v>
      </c>
      <c r="AM55" s="6">
        <f t="shared" si="17"/>
        <v>0.32932954632340883</v>
      </c>
      <c r="AN55" s="6">
        <f t="shared" si="37"/>
        <v>0.99999999999999989</v>
      </c>
      <c r="AO55" s="7">
        <f t="shared" si="38"/>
        <v>0.67067045367659106</v>
      </c>
      <c r="AP55" s="7">
        <f t="shared" si="39"/>
        <v>0</v>
      </c>
    </row>
    <row r="56" spans="1:42" x14ac:dyDescent="0.25">
      <c r="A56">
        <f t="shared" si="14"/>
        <v>2009</v>
      </c>
      <c r="B56" s="2">
        <f t="shared" si="49"/>
        <v>40276.936882858667</v>
      </c>
      <c r="C56" s="2"/>
      <c r="D56" s="2">
        <f t="shared" si="51"/>
        <v>42511.604617520279</v>
      </c>
      <c r="E56" s="2">
        <f t="shared" si="52"/>
        <v>16849.555248371758</v>
      </c>
      <c r="F56" s="2"/>
      <c r="G56" s="2">
        <f t="shared" si="46"/>
        <v>26669.489839012411</v>
      </c>
      <c r="H56" s="2">
        <f t="shared" si="21"/>
        <v>48918.587867844959</v>
      </c>
      <c r="I56" s="2">
        <f t="shared" si="22"/>
        <v>175226.1744556081</v>
      </c>
      <c r="J56" s="2">
        <f>I56-I55</f>
        <v>28158.075633377855</v>
      </c>
      <c r="K56" s="6">
        <f>(J56/I55)</f>
        <v>0.19146283836451955</v>
      </c>
      <c r="L56" s="7">
        <f t="shared" si="25"/>
        <v>1.1914628383645196</v>
      </c>
      <c r="N56">
        <f t="shared" si="26"/>
        <v>2009</v>
      </c>
      <c r="O56" s="2">
        <f t="shared" si="27"/>
        <v>6843.4879149184599</v>
      </c>
      <c r="P56" s="2"/>
      <c r="Q56" s="2"/>
      <c r="R56">
        <f t="shared" si="60"/>
        <v>2009</v>
      </c>
      <c r="S56" s="2">
        <f t="shared" si="53"/>
        <v>38908.239299874971</v>
      </c>
      <c r="T56" s="2"/>
      <c r="U56" s="2">
        <f t="shared" si="54"/>
        <v>41142.907034536591</v>
      </c>
      <c r="V56" s="2">
        <f t="shared" si="55"/>
        <v>15480.857665388066</v>
      </c>
      <c r="W56" s="2"/>
      <c r="X56" s="2">
        <f t="shared" si="56"/>
        <v>25300.792256028719</v>
      </c>
      <c r="Y56" s="2">
        <f t="shared" si="57"/>
        <v>47549.890284861263</v>
      </c>
      <c r="Z56" s="2">
        <f t="shared" si="61"/>
        <v>168382.68654068961</v>
      </c>
      <c r="AA56" s="2">
        <f>Z56-Z55</f>
        <v>28158.075633377826</v>
      </c>
      <c r="AB56" s="6">
        <f>(AA56/Z55)</f>
        <v>0.20080694431015583</v>
      </c>
      <c r="AC56" s="7">
        <f t="shared" si="35"/>
        <v>1.2008069443101559</v>
      </c>
      <c r="AD56" s="2">
        <f t="shared" si="36"/>
        <v>0</v>
      </c>
      <c r="AF56">
        <f t="shared" si="16"/>
        <v>2009</v>
      </c>
      <c r="AG56" s="6">
        <f t="shared" si="50"/>
        <v>0.23107030835069145</v>
      </c>
      <c r="AH56" s="7"/>
      <c r="AI56" s="6">
        <f t="shared" si="58"/>
        <v>0.24434167122398551</v>
      </c>
      <c r="AJ56" s="6">
        <f t="shared" si="59"/>
        <v>9.1938535863941823E-2</v>
      </c>
      <c r="AK56" s="7"/>
      <c r="AL56" s="6">
        <f t="shared" ref="AL56:AL64" si="62">X56/$Z56</f>
        <v>0.1502576825196027</v>
      </c>
      <c r="AM56" s="6">
        <f t="shared" si="17"/>
        <v>0.28239180204177849</v>
      </c>
      <c r="AN56" s="6">
        <f t="shared" si="37"/>
        <v>1</v>
      </c>
      <c r="AO56" s="7">
        <f t="shared" si="38"/>
        <v>0.71760819795822151</v>
      </c>
      <c r="AP56" s="7">
        <f t="shared" si="39"/>
        <v>0</v>
      </c>
    </row>
    <row r="57" spans="1:42" x14ac:dyDescent="0.25">
      <c r="A57">
        <f t="shared" si="14"/>
        <v>2010</v>
      </c>
      <c r="B57" s="2">
        <f t="shared" si="49"/>
        <v>44709.457779486329</v>
      </c>
      <c r="C57" s="2"/>
      <c r="D57" s="2">
        <f t="shared" si="51"/>
        <v>51617.891165529603</v>
      </c>
      <c r="E57" s="2">
        <f t="shared" si="52"/>
        <v>19772.15141023364</v>
      </c>
      <c r="F57" s="2"/>
      <c r="G57" s="2">
        <f t="shared" si="46"/>
        <v>28114.240354899113</v>
      </c>
      <c r="H57" s="2">
        <f t="shared" si="21"/>
        <v>50602.593241149356</v>
      </c>
      <c r="I57" s="2">
        <f t="shared" si="22"/>
        <v>194816.33395129803</v>
      </c>
      <c r="J57" s="2">
        <f t="shared" si="23"/>
        <v>19590.159495689935</v>
      </c>
      <c r="K57" s="6">
        <f t="shared" si="24"/>
        <v>0.11179927631561071</v>
      </c>
      <c r="L57" s="7">
        <f t="shared" si="25"/>
        <v>1.1117992763156108</v>
      </c>
      <c r="N57">
        <f t="shared" si="26"/>
        <v>2010</v>
      </c>
      <c r="O57" s="2">
        <f t="shared" si="27"/>
        <v>7035.1055765361771</v>
      </c>
      <c r="P57" s="2"/>
      <c r="Q57" s="2"/>
      <c r="R57">
        <f t="shared" si="60"/>
        <v>2010</v>
      </c>
      <c r="S57" s="2">
        <f t="shared" si="53"/>
        <v>43302.436664179091</v>
      </c>
      <c r="T57" s="2"/>
      <c r="U57" s="2">
        <f t="shared" si="54"/>
        <v>50210.870050222366</v>
      </c>
      <c r="V57" s="2">
        <f t="shared" si="55"/>
        <v>18365.130294926406</v>
      </c>
      <c r="W57" s="2"/>
      <c r="X57" s="2">
        <f t="shared" si="56"/>
        <v>26707.219239591879</v>
      </c>
      <c r="Y57" s="2">
        <f t="shared" si="57"/>
        <v>49195.572125842118</v>
      </c>
      <c r="Z57" s="2">
        <f t="shared" si="61"/>
        <v>187781.22837476188</v>
      </c>
      <c r="AA57" s="2">
        <f t="shared" ref="AA57:AA64" si="63">Z57-Z56</f>
        <v>19398.541834072268</v>
      </c>
      <c r="AB57" s="6">
        <f t="shared" ref="AB57:AB64" si="64">(AA57/Z56)</f>
        <v>0.11520508570448909</v>
      </c>
      <c r="AC57" s="7">
        <f t="shared" si="35"/>
        <v>1.1152050857044891</v>
      </c>
      <c r="AD57" s="2">
        <f t="shared" si="36"/>
        <v>0</v>
      </c>
      <c r="AF57">
        <f t="shared" si="16"/>
        <v>2010</v>
      </c>
      <c r="AG57" s="6">
        <f t="shared" si="50"/>
        <v>0.23060045478964933</v>
      </c>
      <c r="AH57" s="7"/>
      <c r="AI57" s="6">
        <f t="shared" si="58"/>
        <v>0.26739025239527509</v>
      </c>
      <c r="AJ57" s="6">
        <f t="shared" si="59"/>
        <v>9.7800671844975068E-2</v>
      </c>
      <c r="AK57" s="7"/>
      <c r="AL57" s="6">
        <f t="shared" si="62"/>
        <v>0.14222518124277739</v>
      </c>
      <c r="AM57" s="6">
        <f t="shared" si="17"/>
        <v>0.26198343972732308</v>
      </c>
      <c r="AN57" s="6">
        <f t="shared" si="37"/>
        <v>1</v>
      </c>
      <c r="AO57" s="7">
        <f t="shared" si="38"/>
        <v>0.73801656027267692</v>
      </c>
      <c r="AP57" s="7">
        <f t="shared" si="39"/>
        <v>0</v>
      </c>
    </row>
    <row r="58" spans="1:42" x14ac:dyDescent="0.25">
      <c r="A58">
        <f t="shared" si="14"/>
        <v>2011</v>
      </c>
      <c r="B58" s="2">
        <f t="shared" si="49"/>
        <v>44155.494666463419</v>
      </c>
      <c r="C58" s="2"/>
      <c r="D58" s="2">
        <f t="shared" si="51"/>
        <v>49151.420692162676</v>
      </c>
      <c r="E58" s="2">
        <f t="shared" si="52"/>
        <v>17850.906646668467</v>
      </c>
      <c r="F58" s="2"/>
      <c r="G58" s="2">
        <f t="shared" si="46"/>
        <v>22818.648118307301</v>
      </c>
      <c r="H58" s="2">
        <f t="shared" si="21"/>
        <v>52914.757378555791</v>
      </c>
      <c r="I58" s="2">
        <f t="shared" si="22"/>
        <v>186891.22750215762</v>
      </c>
      <c r="J58" s="2">
        <f t="shared" si="23"/>
        <v>-7925.1064491404104</v>
      </c>
      <c r="K58" s="6">
        <f t="shared" si="24"/>
        <v>-4.0679886991003542E-2</v>
      </c>
      <c r="L58" s="7">
        <f t="shared" si="25"/>
        <v>0.95932011300899644</v>
      </c>
      <c r="N58">
        <f t="shared" si="26"/>
        <v>2011</v>
      </c>
      <c r="O58" s="2">
        <f t="shared" si="27"/>
        <v>7133.5970546076833</v>
      </c>
      <c r="P58" s="2"/>
      <c r="Q58" s="2"/>
      <c r="R58">
        <f t="shared" si="60"/>
        <v>2011</v>
      </c>
      <c r="S58" s="2">
        <f t="shared" si="53"/>
        <v>42728.775255541885</v>
      </c>
      <c r="T58" s="2"/>
      <c r="U58" s="2">
        <f t="shared" si="54"/>
        <v>47724.701281241141</v>
      </c>
      <c r="V58" s="2">
        <f t="shared" si="55"/>
        <v>16424.187235746929</v>
      </c>
      <c r="W58" s="2"/>
      <c r="X58" s="2">
        <f t="shared" si="56"/>
        <v>21391.928707385763</v>
      </c>
      <c r="Y58" s="2">
        <f t="shared" si="57"/>
        <v>51488.037967634256</v>
      </c>
      <c r="Z58" s="2">
        <f t="shared" si="61"/>
        <v>179757.63044754998</v>
      </c>
      <c r="AA58" s="2">
        <f t="shared" si="63"/>
        <v>-8023.5979272119002</v>
      </c>
      <c r="AB58" s="6">
        <f t="shared" si="64"/>
        <v>-4.272843455469847E-2</v>
      </c>
      <c r="AC58" s="7">
        <f t="shared" si="35"/>
        <v>0.95727156544530156</v>
      </c>
      <c r="AD58" s="2">
        <f t="shared" si="36"/>
        <v>0</v>
      </c>
      <c r="AF58">
        <f t="shared" si="16"/>
        <v>2011</v>
      </c>
      <c r="AG58" s="6">
        <f t="shared" si="50"/>
        <v>0.23770215010710974</v>
      </c>
      <c r="AH58" s="7"/>
      <c r="AI58" s="6">
        <f t="shared" si="58"/>
        <v>0.26549471731697277</v>
      </c>
      <c r="AJ58" s="6">
        <f t="shared" si="59"/>
        <v>9.136851211742697E-2</v>
      </c>
      <c r="AK58" s="7"/>
      <c r="AL58" s="6">
        <f t="shared" si="62"/>
        <v>0.11900428735139308</v>
      </c>
      <c r="AM58" s="6">
        <f t="shared" si="17"/>
        <v>0.28643033310709742</v>
      </c>
      <c r="AN58" s="6">
        <f t="shared" si="37"/>
        <v>1</v>
      </c>
      <c r="AO58" s="7">
        <f t="shared" si="38"/>
        <v>0.71356966689290269</v>
      </c>
      <c r="AP58" s="7">
        <f t="shared" si="39"/>
        <v>0</v>
      </c>
    </row>
    <row r="59" spans="1:42" x14ac:dyDescent="0.25">
      <c r="A59">
        <f t="shared" si="14"/>
        <v>2012</v>
      </c>
      <c r="B59" s="2">
        <f t="shared" si="49"/>
        <v>49488.467500968603</v>
      </c>
      <c r="C59" s="2"/>
      <c r="D59" s="2">
        <f t="shared" si="51"/>
        <v>55265.204083677236</v>
      </c>
      <c r="E59" s="2">
        <f t="shared" si="52"/>
        <v>19387.110613075678</v>
      </c>
      <c r="F59" s="2"/>
      <c r="G59" s="2">
        <f t="shared" si="46"/>
        <v>25272.424574905541</v>
      </c>
      <c r="H59" s="2">
        <f t="shared" si="21"/>
        <v>53573.303505323442</v>
      </c>
      <c r="I59" s="2">
        <f t="shared" si="22"/>
        <v>202986.51027795053</v>
      </c>
      <c r="J59" s="2">
        <f t="shared" si="23"/>
        <v>16095.282775792904</v>
      </c>
      <c r="K59" s="6">
        <f t="shared" si="24"/>
        <v>8.6121125057124936E-2</v>
      </c>
      <c r="L59" s="7">
        <f t="shared" si="25"/>
        <v>1.086121125057125</v>
      </c>
      <c r="N59">
        <f t="shared" si="26"/>
        <v>2012</v>
      </c>
      <c r="O59" s="2">
        <f t="shared" si="27"/>
        <v>7347.6049662459136</v>
      </c>
      <c r="P59" s="2"/>
      <c r="Q59" s="2"/>
      <c r="R59">
        <f t="shared" si="60"/>
        <v>2012</v>
      </c>
      <c r="S59" s="2">
        <f t="shared" si="53"/>
        <v>48018.946507719418</v>
      </c>
      <c r="T59" s="2"/>
      <c r="U59" s="2">
        <f t="shared" si="54"/>
        <v>53795.68309042805</v>
      </c>
      <c r="V59" s="2">
        <f t="shared" si="55"/>
        <v>17917.589619826496</v>
      </c>
      <c r="W59" s="2"/>
      <c r="X59" s="2">
        <f t="shared" si="56"/>
        <v>23802.903581656359</v>
      </c>
      <c r="Y59" s="2">
        <f t="shared" si="57"/>
        <v>52103.782512074256</v>
      </c>
      <c r="Z59" s="2">
        <f t="shared" si="61"/>
        <v>195638.90531170458</v>
      </c>
      <c r="AA59" s="2">
        <f t="shared" si="63"/>
        <v>15881.274864154606</v>
      </c>
      <c r="AB59" s="6">
        <f t="shared" si="64"/>
        <v>8.8348265520714425E-2</v>
      </c>
      <c r="AC59" s="7">
        <f t="shared" si="35"/>
        <v>1.0883482655207144</v>
      </c>
      <c r="AD59" s="2">
        <f t="shared" si="36"/>
        <v>0</v>
      </c>
      <c r="AF59">
        <f t="shared" si="16"/>
        <v>2012</v>
      </c>
      <c r="AG59" s="6">
        <f t="shared" si="50"/>
        <v>0.24544681657880124</v>
      </c>
      <c r="AH59" s="7"/>
      <c r="AI59" s="6">
        <f t="shared" si="58"/>
        <v>0.27497436159089766</v>
      </c>
      <c r="AJ59" s="6">
        <f t="shared" si="59"/>
        <v>9.1585002437419238E-2</v>
      </c>
      <c r="AK59" s="7"/>
      <c r="AL59" s="6">
        <f t="shared" si="62"/>
        <v>0.12166753613618943</v>
      </c>
      <c r="AM59" s="6">
        <f t="shared" si="17"/>
        <v>0.26632628325669239</v>
      </c>
      <c r="AN59" s="6">
        <f t="shared" si="37"/>
        <v>1</v>
      </c>
      <c r="AO59" s="7">
        <f t="shared" si="38"/>
        <v>0.73367371674330761</v>
      </c>
      <c r="AP59" s="7">
        <f t="shared" si="39"/>
        <v>0</v>
      </c>
    </row>
    <row r="60" spans="1:42" x14ac:dyDescent="0.25">
      <c r="A60">
        <f t="shared" si="14"/>
        <v>2013</v>
      </c>
      <c r="B60" s="2">
        <f t="shared" si="49"/>
        <v>63471.443493903535</v>
      </c>
      <c r="C60" s="2"/>
      <c r="D60" s="2">
        <f t="shared" si="51"/>
        <v>72624.172172077873</v>
      </c>
      <c r="E60" s="2">
        <f t="shared" si="52"/>
        <v>24658.186834805223</v>
      </c>
      <c r="F60" s="2"/>
      <c r="G60" s="2">
        <f t="shared" si="46"/>
        <v>27382.860280337471</v>
      </c>
      <c r="H60" s="2">
        <f t="shared" si="21"/>
        <v>50926.23702730138</v>
      </c>
      <c r="I60" s="2">
        <f t="shared" si="22"/>
        <v>239062.89980842546</v>
      </c>
      <c r="J60" s="2">
        <f t="shared" si="23"/>
        <v>36076.389530474931</v>
      </c>
      <c r="K60" s="6">
        <f t="shared" si="24"/>
        <v>0.17772801493594495</v>
      </c>
      <c r="L60" s="7">
        <f t="shared" si="25"/>
        <v>1.177728014935945</v>
      </c>
      <c r="N60">
        <f t="shared" si="26"/>
        <v>2013</v>
      </c>
      <c r="O60" s="2">
        <f t="shared" si="27"/>
        <v>7479.8618556383399</v>
      </c>
      <c r="P60" s="2"/>
      <c r="Q60" s="2"/>
      <c r="R60">
        <f t="shared" si="60"/>
        <v>2013</v>
      </c>
      <c r="S60" s="2">
        <f t="shared" si="53"/>
        <v>61975.471122775867</v>
      </c>
      <c r="T60" s="2"/>
      <c r="U60" s="2">
        <f t="shared" si="54"/>
        <v>71128.199800950199</v>
      </c>
      <c r="V60" s="2">
        <f t="shared" si="55"/>
        <v>23162.214463677556</v>
      </c>
      <c r="W60" s="2"/>
      <c r="X60" s="2">
        <f t="shared" si="56"/>
        <v>25886.887909209803</v>
      </c>
      <c r="Y60" s="2">
        <f t="shared" si="57"/>
        <v>49430.264656173713</v>
      </c>
      <c r="Z60" s="2">
        <f t="shared" si="61"/>
        <v>231583.0379527871</v>
      </c>
      <c r="AA60" s="2">
        <f t="shared" si="63"/>
        <v>35944.132641082513</v>
      </c>
      <c r="AB60" s="6">
        <f t="shared" si="64"/>
        <v>0.18372691558365647</v>
      </c>
      <c r="AC60" s="7">
        <f t="shared" si="35"/>
        <v>1.1837269155836565</v>
      </c>
      <c r="AD60" s="2">
        <f t="shared" si="36"/>
        <v>0</v>
      </c>
      <c r="AF60">
        <f t="shared" si="16"/>
        <v>2013</v>
      </c>
      <c r="AG60" s="6">
        <f t="shared" si="50"/>
        <v>0.26761662542578279</v>
      </c>
      <c r="AH60" s="7"/>
      <c r="AI60" s="6">
        <f t="shared" si="58"/>
        <v>0.30713907387056183</v>
      </c>
      <c r="AJ60" s="6">
        <f t="shared" si="59"/>
        <v>0.10001688667889244</v>
      </c>
      <c r="AK60" s="7"/>
      <c r="AL60" s="6">
        <f t="shared" si="62"/>
        <v>0.11178231418869015</v>
      </c>
      <c r="AM60" s="6">
        <f t="shared" si="17"/>
        <v>0.21344509983607296</v>
      </c>
      <c r="AN60" s="6">
        <f t="shared" si="37"/>
        <v>1</v>
      </c>
      <c r="AO60" s="7">
        <f t="shared" si="38"/>
        <v>0.78655490016392715</v>
      </c>
      <c r="AP60" s="7">
        <f t="shared" si="39"/>
        <v>0</v>
      </c>
    </row>
    <row r="61" spans="1:42" x14ac:dyDescent="0.25">
      <c r="A61">
        <f t="shared" si="14"/>
        <v>2014</v>
      </c>
      <c r="B61" s="2">
        <f t="shared" si="49"/>
        <v>70348.357271462883</v>
      </c>
      <c r="C61" s="2"/>
      <c r="D61" s="2">
        <f t="shared" si="51"/>
        <v>80801.634973879438</v>
      </c>
      <c r="E61" s="2">
        <f t="shared" si="52"/>
        <v>24869.269669650595</v>
      </c>
      <c r="F61" s="2"/>
      <c r="G61" s="2">
        <f t="shared" si="46"/>
        <v>24789.283861859309</v>
      </c>
      <c r="H61" s="2">
        <f t="shared" si="21"/>
        <v>52277.447900369327</v>
      </c>
      <c r="I61" s="2">
        <f t="shared" si="22"/>
        <v>253085.99367722156</v>
      </c>
      <c r="J61" s="2">
        <f t="shared" si="23"/>
        <v>14023.093868796102</v>
      </c>
      <c r="K61" s="6">
        <f t="shared" si="24"/>
        <v>5.865859520667404E-2</v>
      </c>
      <c r="L61" s="7">
        <f t="shared" si="25"/>
        <v>1.058658595206674</v>
      </c>
      <c r="N61">
        <f t="shared" si="26"/>
        <v>2014</v>
      </c>
      <c r="O61" s="2">
        <f t="shared" si="27"/>
        <v>7566.298518813901</v>
      </c>
      <c r="P61" s="2"/>
      <c r="Q61" s="2"/>
      <c r="R61">
        <f t="shared" si="60"/>
        <v>2014</v>
      </c>
      <c r="S61" s="2">
        <f t="shared" si="53"/>
        <v>68835.097567700097</v>
      </c>
      <c r="T61" s="2"/>
      <c r="U61" s="2">
        <f t="shared" si="54"/>
        <v>79288.375270116652</v>
      </c>
      <c r="V61" s="2">
        <f t="shared" si="55"/>
        <v>23356.009965887817</v>
      </c>
      <c r="W61" s="2"/>
      <c r="X61" s="2">
        <f t="shared" si="56"/>
        <v>23276.02415809653</v>
      </c>
      <c r="Y61" s="2">
        <f t="shared" si="57"/>
        <v>50764.188196606548</v>
      </c>
      <c r="Z61" s="2">
        <f t="shared" si="61"/>
        <v>245519.69515840765</v>
      </c>
      <c r="AA61" s="2">
        <f t="shared" si="63"/>
        <v>13936.657205620548</v>
      </c>
      <c r="AB61" s="6">
        <f t="shared" si="64"/>
        <v>6.0179956739585642E-2</v>
      </c>
      <c r="AC61" s="7">
        <f t="shared" si="35"/>
        <v>1.0601799567395855</v>
      </c>
      <c r="AD61" s="2">
        <f t="shared" si="36"/>
        <v>0</v>
      </c>
      <c r="AF61">
        <f t="shared" si="16"/>
        <v>2014</v>
      </c>
      <c r="AG61" s="6">
        <f t="shared" si="50"/>
        <v>0.28036487061980164</v>
      </c>
      <c r="AH61" s="7"/>
      <c r="AI61" s="6">
        <f t="shared" si="58"/>
        <v>0.32294099753977101</v>
      </c>
      <c r="AJ61" s="6">
        <f t="shared" si="59"/>
        <v>9.5128865123503339E-2</v>
      </c>
      <c r="AK61" s="7"/>
      <c r="AL61" s="6">
        <f t="shared" si="62"/>
        <v>9.4803083488186141E-2</v>
      </c>
      <c r="AM61" s="6">
        <f t="shared" si="17"/>
        <v>0.20676218322873788</v>
      </c>
      <c r="AN61" s="6">
        <f t="shared" si="37"/>
        <v>1</v>
      </c>
      <c r="AO61" s="7">
        <f t="shared" si="38"/>
        <v>0.79323781677126215</v>
      </c>
      <c r="AP61" s="7">
        <f t="shared" si="39"/>
        <v>0</v>
      </c>
    </row>
    <row r="62" spans="1:42" x14ac:dyDescent="0.25">
      <c r="A62">
        <f t="shared" si="14"/>
        <v>2015</v>
      </c>
      <c r="B62" s="2">
        <f t="shared" si="49"/>
        <v>69695.536287296345</v>
      </c>
      <c r="C62" s="2"/>
      <c r="D62" s="2">
        <f t="shared" si="51"/>
        <v>78130.764991172953</v>
      </c>
      <c r="E62" s="2">
        <f t="shared" si="52"/>
        <v>22473.152789177257</v>
      </c>
      <c r="F62" s="2"/>
      <c r="G62" s="2">
        <f t="shared" si="46"/>
        <v>22258.861902387715</v>
      </c>
      <c r="H62" s="2">
        <f t="shared" si="21"/>
        <v>50916.480761196362</v>
      </c>
      <c r="I62" s="2">
        <f t="shared" si="22"/>
        <v>243474.79673123063</v>
      </c>
      <c r="J62" s="2">
        <f t="shared" si="23"/>
        <v>-9611.1969459909305</v>
      </c>
      <c r="K62" s="6">
        <f t="shared" si="24"/>
        <v>-3.7976012841898985E-2</v>
      </c>
      <c r="L62" s="7">
        <f t="shared" si="25"/>
        <v>0.962023987158101</v>
      </c>
      <c r="N62">
        <f t="shared" si="26"/>
        <v>2015</v>
      </c>
      <c r="O62" s="2">
        <f t="shared" si="27"/>
        <v>7663.9037697065996</v>
      </c>
      <c r="P62" s="2"/>
      <c r="Q62" s="2"/>
      <c r="R62">
        <f t="shared" si="60"/>
        <v>2015</v>
      </c>
      <c r="S62" s="2">
        <f t="shared" si="53"/>
        <v>68162.755533355026</v>
      </c>
      <c r="T62" s="2"/>
      <c r="U62" s="2">
        <f t="shared" si="54"/>
        <v>76597.984237231634</v>
      </c>
      <c r="V62" s="2">
        <f t="shared" si="55"/>
        <v>20940.372035235938</v>
      </c>
      <c r="W62" s="2"/>
      <c r="X62" s="2">
        <f t="shared" si="56"/>
        <v>20726.081148446396</v>
      </c>
      <c r="Y62" s="2">
        <f t="shared" si="57"/>
        <v>49383.700007255044</v>
      </c>
      <c r="Z62" s="2">
        <f t="shared" si="61"/>
        <v>235810.89296152402</v>
      </c>
      <c r="AA62" s="2">
        <f t="shared" si="63"/>
        <v>-9708.8021968836256</v>
      </c>
      <c r="AB62" s="6">
        <f t="shared" si="64"/>
        <v>-3.9543883396480968E-2</v>
      </c>
      <c r="AC62" s="7">
        <f t="shared" si="35"/>
        <v>0.96045611660351904</v>
      </c>
      <c r="AD62" s="2">
        <f t="shared" si="36"/>
        <v>0</v>
      </c>
      <c r="AF62">
        <f t="shared" si="16"/>
        <v>2015</v>
      </c>
      <c r="AG62" s="6">
        <f t="shared" si="50"/>
        <v>0.28905685686231963</v>
      </c>
      <c r="AH62" s="7"/>
      <c r="AI62" s="6">
        <f t="shared" si="58"/>
        <v>0.32482801483530155</v>
      </c>
      <c r="AJ62" s="6">
        <f t="shared" si="59"/>
        <v>8.8801546748956434E-2</v>
      </c>
      <c r="AK62" s="7"/>
      <c r="AL62" s="6">
        <f t="shared" si="62"/>
        <v>8.789280634219114E-2</v>
      </c>
      <c r="AM62" s="6">
        <f t="shared" si="17"/>
        <v>0.20942077521123129</v>
      </c>
      <c r="AN62" s="6">
        <f t="shared" si="37"/>
        <v>1</v>
      </c>
      <c r="AO62" s="7">
        <f t="shared" si="38"/>
        <v>0.79057922478876874</v>
      </c>
      <c r="AP62" s="7">
        <f t="shared" si="39"/>
        <v>0</v>
      </c>
    </row>
    <row r="63" spans="1:42" x14ac:dyDescent="0.25">
      <c r="A63">
        <f t="shared" si="14"/>
        <v>2016</v>
      </c>
      <c r="B63" s="2">
        <f t="shared" si="49"/>
        <v>76219.593237397596</v>
      </c>
      <c r="C63" s="2"/>
      <c r="D63" s="2">
        <f t="shared" si="51"/>
        <v>85077.381092293173</v>
      </c>
      <c r="E63" s="2">
        <f t="shared" si="52"/>
        <v>24745.237634038309</v>
      </c>
      <c r="F63" s="2"/>
      <c r="G63" s="2">
        <f t="shared" si="46"/>
        <v>21689.843921849151</v>
      </c>
      <c r="H63" s="2">
        <f t="shared" si="21"/>
        <v>50618.292507436418</v>
      </c>
      <c r="I63" s="2">
        <f t="shared" si="22"/>
        <v>258350.34839301466</v>
      </c>
      <c r="J63" s="2">
        <f t="shared" si="23"/>
        <v>14875.551661784033</v>
      </c>
      <c r="K63" s="6">
        <f t="shared" si="24"/>
        <v>6.1096885022579997E-2</v>
      </c>
      <c r="L63" s="7">
        <f t="shared" si="25"/>
        <v>1.0610968850225799</v>
      </c>
      <c r="N63">
        <f t="shared" si="26"/>
        <v>2016</v>
      </c>
      <c r="O63" s="2">
        <f t="shared" si="27"/>
        <v>7697.6249462933083</v>
      </c>
      <c r="P63" s="2"/>
      <c r="Q63" s="2"/>
      <c r="R63">
        <f t="shared" si="60"/>
        <v>2016</v>
      </c>
      <c r="S63" s="2">
        <f t="shared" si="53"/>
        <v>74680.068248138938</v>
      </c>
      <c r="T63" s="2"/>
      <c r="U63" s="2">
        <f t="shared" si="54"/>
        <v>83537.856103034515</v>
      </c>
      <c r="V63" s="2">
        <f t="shared" si="55"/>
        <v>23205.712644779647</v>
      </c>
      <c r="W63" s="2"/>
      <c r="X63" s="2">
        <f t="shared" si="56"/>
        <v>20150.31893259049</v>
      </c>
      <c r="Y63" s="2">
        <f t="shared" si="57"/>
        <v>49078.767518177759</v>
      </c>
      <c r="Z63" s="2">
        <f t="shared" si="61"/>
        <v>250652.72344672133</v>
      </c>
      <c r="AA63" s="2">
        <f t="shared" si="63"/>
        <v>14841.830485197308</v>
      </c>
      <c r="AB63" s="6">
        <f t="shared" si="64"/>
        <v>6.2939545747019279E-2</v>
      </c>
      <c r="AC63" s="7">
        <f t="shared" si="35"/>
        <v>1.0629395457470192</v>
      </c>
      <c r="AD63" s="2">
        <f t="shared" si="36"/>
        <v>0</v>
      </c>
      <c r="AF63">
        <f t="shared" si="16"/>
        <v>2016</v>
      </c>
      <c r="AG63" s="6">
        <f t="shared" si="50"/>
        <v>0.29794237709135807</v>
      </c>
      <c r="AH63" s="7"/>
      <c r="AI63" s="6">
        <f t="shared" si="58"/>
        <v>0.33328126243476186</v>
      </c>
      <c r="AJ63" s="6">
        <f t="shared" si="59"/>
        <v>9.2581131079201087E-2</v>
      </c>
      <c r="AK63" s="7"/>
      <c r="AL63" s="6">
        <f t="shared" si="62"/>
        <v>8.0391382369614017E-2</v>
      </c>
      <c r="AM63" s="6">
        <f t="shared" si="17"/>
        <v>0.19580384702506506</v>
      </c>
      <c r="AN63" s="6">
        <f t="shared" si="37"/>
        <v>1.0000000000000002</v>
      </c>
      <c r="AO63" s="7">
        <f t="shared" si="38"/>
        <v>0.80419615297493507</v>
      </c>
      <c r="AP63" s="7">
        <f t="shared" si="39"/>
        <v>0</v>
      </c>
    </row>
    <row r="64" spans="1:42" x14ac:dyDescent="0.25">
      <c r="A64">
        <f t="shared" si="14"/>
        <v>2017</v>
      </c>
      <c r="B64" s="2">
        <f t="shared" si="49"/>
        <v>90863.239037510633</v>
      </c>
      <c r="C64" s="2"/>
      <c r="D64" s="2">
        <f t="shared" si="51"/>
        <v>99911.27589922928</v>
      </c>
      <c r="E64" s="2">
        <f t="shared" si="52"/>
        <v>26941.83238058917</v>
      </c>
      <c r="F64" s="2"/>
      <c r="G64" s="2">
        <f t="shared" si="46"/>
        <v>25671.506320120283</v>
      </c>
      <c r="H64" s="2">
        <f t="shared" si="21"/>
        <v>50776.892874306708</v>
      </c>
      <c r="I64" s="2">
        <f t="shared" si="22"/>
        <v>294164.74651175609</v>
      </c>
      <c r="J64" s="2">
        <f t="shared" si="23"/>
        <v>35814.398118741432</v>
      </c>
      <c r="K64" s="6">
        <f t="shared" si="24"/>
        <v>0.13862724916576807</v>
      </c>
      <c r="L64" s="7">
        <f t="shared" si="25"/>
        <v>1.1386272491657681</v>
      </c>
      <c r="N64">
        <f t="shared" si="26"/>
        <v>2017</v>
      </c>
      <c r="O64" s="2">
        <f t="shared" si="27"/>
        <v>7828.4845703802939</v>
      </c>
      <c r="P64" s="2"/>
      <c r="Q64" s="2"/>
      <c r="R64">
        <f t="shared" si="60"/>
        <v>2017</v>
      </c>
      <c r="S64" s="2">
        <f t="shared" si="53"/>
        <v>89297.54212343457</v>
      </c>
      <c r="T64" s="2"/>
      <c r="U64" s="2">
        <f t="shared" si="54"/>
        <v>98345.578985153217</v>
      </c>
      <c r="V64" s="2">
        <f t="shared" si="55"/>
        <v>25376.135466513111</v>
      </c>
      <c r="W64" s="2"/>
      <c r="X64" s="2">
        <f t="shared" si="56"/>
        <v>24105.809406044224</v>
      </c>
      <c r="Y64" s="2">
        <f t="shared" si="57"/>
        <v>49211.195960230652</v>
      </c>
      <c r="Z64" s="2">
        <f t="shared" si="61"/>
        <v>286336.26194137573</v>
      </c>
      <c r="AA64" s="2">
        <f t="shared" si="63"/>
        <v>35683.538494654407</v>
      </c>
      <c r="AB64" s="6">
        <f t="shared" si="64"/>
        <v>0.14236246071445255</v>
      </c>
      <c r="AC64" s="7">
        <f t="shared" si="35"/>
        <v>1.1423624607144525</v>
      </c>
      <c r="AD64" s="2">
        <f t="shared" si="36"/>
        <v>0</v>
      </c>
      <c r="AF64">
        <f t="shared" si="16"/>
        <v>2017</v>
      </c>
      <c r="AG64" s="6">
        <f t="shared" si="50"/>
        <v>0.31186249872088251</v>
      </c>
      <c r="AH64" s="7"/>
      <c r="AI64" s="6">
        <f t="shared" si="58"/>
        <v>0.3434618386032029</v>
      </c>
      <c r="AJ64" s="6">
        <f t="shared" si="59"/>
        <v>8.8623548042645758E-2</v>
      </c>
      <c r="AK64" s="7"/>
      <c r="AL64" s="6">
        <f t="shared" si="62"/>
        <v>8.418706468613335E-2</v>
      </c>
      <c r="AM64" s="6">
        <f t="shared" si="17"/>
        <v>0.17186504994713564</v>
      </c>
      <c r="AN64" s="6">
        <f t="shared" si="37"/>
        <v>1</v>
      </c>
      <c r="AO64" s="7">
        <f t="shared" si="38"/>
        <v>0.82813495005286442</v>
      </c>
      <c r="AP64" s="7">
        <f t="shared" si="39"/>
        <v>0</v>
      </c>
    </row>
    <row r="65" spans="1:42" x14ac:dyDescent="0.25">
      <c r="A65">
        <f t="shared" si="14"/>
        <v>2017</v>
      </c>
      <c r="B65" s="2">
        <f t="shared" si="49"/>
        <v>108648.31950158284</v>
      </c>
      <c r="C65" s="2"/>
      <c r="D65" s="2">
        <f t="shared" si="51"/>
        <v>117621.31246624324</v>
      </c>
      <c r="E65" s="2">
        <f t="shared" si="52"/>
        <v>29461.693276621721</v>
      </c>
      <c r="F65" s="2"/>
      <c r="G65" s="2">
        <f t="shared" si="46"/>
        <v>30710.80118330034</v>
      </c>
      <c r="H65" s="2">
        <f t="shared" si="21"/>
        <v>50913.903340454628</v>
      </c>
      <c r="I65" s="2">
        <f t="shared" ref="I65:I66" si="65">SUM(B65:H65)</f>
        <v>337356.02976820274</v>
      </c>
      <c r="J65" s="2">
        <f t="shared" ref="J65:J66" si="66">I65-I64</f>
        <v>43191.283256446652</v>
      </c>
      <c r="K65" s="6">
        <f t="shared" ref="K65:K66" si="67">(J65/I64)</f>
        <v>0.14682685049318289</v>
      </c>
      <c r="L65" s="7">
        <f t="shared" ref="L65:L66" si="68">K65+1</f>
        <v>1.1468268504931829</v>
      </c>
      <c r="N65">
        <f t="shared" ref="N65:N66" si="69">A65</f>
        <v>2017</v>
      </c>
      <c r="O65" s="2">
        <f t="shared" si="27"/>
        <v>8003.0597762997741</v>
      </c>
      <c r="P65" s="2"/>
      <c r="Q65" s="2"/>
      <c r="R65">
        <f t="shared" ref="R65:R66" si="70">A65</f>
        <v>2017</v>
      </c>
      <c r="S65" s="2">
        <f t="shared" ref="S65:S66" si="71">B65-($O65/5)</f>
        <v>107047.70754632288</v>
      </c>
      <c r="T65" s="2"/>
      <c r="U65" s="2">
        <f t="shared" ref="U65:U66" si="72">D65-($O65/5)</f>
        <v>116020.70051098328</v>
      </c>
      <c r="V65" s="2">
        <f t="shared" ref="V65:V66" si="73">E65-($O65/5)</f>
        <v>27861.081321361766</v>
      </c>
      <c r="W65" s="2"/>
      <c r="X65" s="2">
        <f t="shared" ref="X65:X66" si="74">G65-($O65/5)</f>
        <v>29110.189228040384</v>
      </c>
      <c r="Y65" s="2">
        <f t="shared" ref="Y65:Y66" si="75">H65-($O65/5)</f>
        <v>49313.291385194672</v>
      </c>
      <c r="Z65" s="2">
        <f t="shared" ref="Z65:Z66" si="76">SUM(S65:Y65)</f>
        <v>329352.969991903</v>
      </c>
      <c r="AA65" s="2">
        <f t="shared" ref="AA65:AA66" si="77">Z65-Z64</f>
        <v>43016.708050527261</v>
      </c>
      <c r="AB65" s="6">
        <f t="shared" ref="AB65:AB66" si="78">(AA65/Z64)</f>
        <v>0.15023143683888165</v>
      </c>
      <c r="AC65" s="7">
        <f t="shared" ref="AC65:AC66" si="79">AB65+1</f>
        <v>1.1502314368388817</v>
      </c>
      <c r="AD65" s="2">
        <f t="shared" ref="AD65:AD66" si="80">Z65-(I65-O65)</f>
        <v>0</v>
      </c>
      <c r="AF65">
        <f t="shared" ref="AF65:AF66" si="81">A65</f>
        <v>2017</v>
      </c>
      <c r="AG65" s="6">
        <f t="shared" ref="AG65:AG66" si="82">S65/$Z65</f>
        <v>0.32502426666732231</v>
      </c>
      <c r="AH65" s="7"/>
      <c r="AI65" s="6">
        <f t="shared" ref="AI65:AI66" si="83">U65/$Z65</f>
        <v>0.35226857226711999</v>
      </c>
      <c r="AJ65" s="6">
        <f t="shared" ref="AJ65:AJ66" si="84">V65/$Z65</f>
        <v>8.459338114378237E-2</v>
      </c>
      <c r="AK65" s="7"/>
      <c r="AL65" s="6">
        <f t="shared" ref="AL65:AL66" si="85">X65/$Z65</f>
        <v>8.8385992780803058E-2</v>
      </c>
      <c r="AM65" s="6">
        <f t="shared" ref="AM65:AM66" si="86">Y65/$Z65</f>
        <v>0.14972778714097226</v>
      </c>
      <c r="AN65" s="6">
        <f t="shared" ref="AN65:AN66" si="87">SUM(AG65:AM65)</f>
        <v>1</v>
      </c>
      <c r="AO65" s="7">
        <f t="shared" ref="AO65:AO66" si="88">SUM(AG65:AL65)</f>
        <v>0.85027221285902777</v>
      </c>
      <c r="AP65" s="7">
        <f t="shared" ref="AP65:AP66" si="89">AN65-(AO65+AM65)</f>
        <v>0</v>
      </c>
    </row>
    <row r="66" spans="1:42" x14ac:dyDescent="0.25">
      <c r="A66">
        <f t="shared" si="14"/>
        <v>2017</v>
      </c>
      <c r="B66" s="2">
        <f t="shared" si="49"/>
        <v>130244.94577161103</v>
      </c>
      <c r="C66" s="2"/>
      <c r="D66" s="2">
        <f t="shared" si="51"/>
        <v>138760.75781113599</v>
      </c>
      <c r="E66" s="2">
        <f t="shared" si="52"/>
        <v>32346.715414101011</v>
      </c>
      <c r="F66" s="2"/>
      <c r="G66" s="2">
        <f t="shared" si="46"/>
        <v>37086.381076523452</v>
      </c>
      <c r="H66" s="2">
        <f t="shared" si="21"/>
        <v>51019.531267122409</v>
      </c>
      <c r="I66" s="2">
        <f t="shared" si="65"/>
        <v>389458.33134049393</v>
      </c>
      <c r="J66" s="2">
        <f t="shared" si="66"/>
        <v>52102.30157229118</v>
      </c>
      <c r="K66" s="6">
        <f t="shared" si="67"/>
        <v>0.15444307193231632</v>
      </c>
      <c r="L66" s="7">
        <f t="shared" si="68"/>
        <v>1.1544430719323162</v>
      </c>
      <c r="N66">
        <f t="shared" si="69"/>
        <v>2017</v>
      </c>
      <c r="O66" s="2">
        <f t="shared" si="27"/>
        <v>8181.5280093112588</v>
      </c>
      <c r="P66" s="2"/>
      <c r="R66">
        <f t="shared" si="70"/>
        <v>2017</v>
      </c>
      <c r="S66" s="2">
        <f t="shared" si="71"/>
        <v>128608.64016974879</v>
      </c>
      <c r="T66" s="2"/>
      <c r="U66" s="2">
        <f t="shared" si="72"/>
        <v>137124.45220927373</v>
      </c>
      <c r="V66" s="2">
        <f t="shared" si="73"/>
        <v>30710.409812238759</v>
      </c>
      <c r="W66" s="2"/>
      <c r="X66" s="2">
        <f t="shared" si="74"/>
        <v>35450.0754746612</v>
      </c>
      <c r="Y66" s="2">
        <f t="shared" si="75"/>
        <v>49383.225665260157</v>
      </c>
      <c r="Z66" s="2">
        <f t="shared" si="76"/>
        <v>381276.80333118263</v>
      </c>
      <c r="AA66" s="2">
        <f t="shared" si="77"/>
        <v>51923.833339279634</v>
      </c>
      <c r="AB66" s="6">
        <f t="shared" si="78"/>
        <v>0.15765406135720034</v>
      </c>
      <c r="AC66" s="7">
        <f t="shared" si="79"/>
        <v>1.1576540613572004</v>
      </c>
      <c r="AD66" s="2">
        <f t="shared" si="80"/>
        <v>0</v>
      </c>
      <c r="AF66">
        <f t="shared" si="81"/>
        <v>2017</v>
      </c>
      <c r="AG66" s="6">
        <f t="shared" si="82"/>
        <v>0.33731042393900224</v>
      </c>
      <c r="AH66" s="7"/>
      <c r="AI66" s="6">
        <f t="shared" si="83"/>
        <v>0.35964540987342841</v>
      </c>
      <c r="AJ66" s="6">
        <f t="shared" si="84"/>
        <v>8.0546231881731462E-2</v>
      </c>
      <c r="AK66" s="7"/>
      <c r="AL66" s="6">
        <f t="shared" si="85"/>
        <v>9.2977267866644231E-2</v>
      </c>
      <c r="AM66" s="6">
        <f t="shared" si="86"/>
        <v>0.12952066643919369</v>
      </c>
      <c r="AN66" s="6">
        <f t="shared" si="87"/>
        <v>1</v>
      </c>
      <c r="AO66" s="7">
        <f t="shared" si="88"/>
        <v>0.87047933356080631</v>
      </c>
      <c r="AP66" s="7">
        <f t="shared" si="89"/>
        <v>0</v>
      </c>
    </row>
    <row r="67" spans="1:42" x14ac:dyDescent="0.25">
      <c r="A67">
        <f t="shared" ref="A67:A69" si="90">A31</f>
        <v>2017</v>
      </c>
      <c r="B67" s="2">
        <f t="shared" ref="B67" si="91">S66*(1+(B31/100))</f>
        <v>156478.13249453335</v>
      </c>
      <c r="C67" s="2"/>
      <c r="D67" s="2">
        <f t="shared" ref="D67:E67" si="92">U66*(1+(D31/100))</f>
        <v>164000.84484229138</v>
      </c>
      <c r="E67" s="2">
        <f t="shared" si="92"/>
        <v>35654.785792009199</v>
      </c>
      <c r="F67" s="2"/>
      <c r="G67" s="2">
        <f t="shared" ref="G67:H67" si="93">X66*(1+(G31/100))</f>
        <v>45163.396154718372</v>
      </c>
      <c r="H67" s="2">
        <f t="shared" si="93"/>
        <v>51091.88527327816</v>
      </c>
      <c r="I67" s="2">
        <f t="shared" ref="I67" si="94">SUM(B67:H67)</f>
        <v>452389.04455683049</v>
      </c>
      <c r="J67" s="2">
        <f t="shared" ref="J67" si="95">I67-I66</f>
        <v>62930.71321633656</v>
      </c>
      <c r="K67" s="6">
        <f t="shared" ref="K67" si="96">(J67/I66)</f>
        <v>0.16158522787208723</v>
      </c>
      <c r="L67" s="7">
        <f t="shared" ref="L67" si="97">K67+1</f>
        <v>1.1615852278720873</v>
      </c>
      <c r="N67">
        <f t="shared" ref="N67" si="98">A67</f>
        <v>2017</v>
      </c>
      <c r="O67" s="2">
        <f t="shared" ref="O67:O69" si="99">O66*(1+O31)</f>
        <v>8363.9760839189003</v>
      </c>
      <c r="P67" s="2"/>
      <c r="R67">
        <f t="shared" ref="R67" si="100">A67</f>
        <v>2017</v>
      </c>
      <c r="S67" s="2">
        <f t="shared" ref="S67" si="101">B67-($O67/5)</f>
        <v>154805.33727774955</v>
      </c>
      <c r="T67" s="2"/>
      <c r="U67" s="2">
        <f t="shared" ref="U67" si="102">D67-($O67/5)</f>
        <v>162328.04962550759</v>
      </c>
      <c r="V67" s="2">
        <f t="shared" ref="V67" si="103">E67-($O67/5)</f>
        <v>33981.99057522542</v>
      </c>
      <c r="W67" s="2"/>
      <c r="X67" s="2">
        <f t="shared" ref="X67" si="104">G67-($O67/5)</f>
        <v>43490.600937934592</v>
      </c>
      <c r="Y67" s="2">
        <f t="shared" ref="Y67" si="105">H67-($O67/5)</f>
        <v>49419.09005649438</v>
      </c>
      <c r="Z67" s="2">
        <f t="shared" ref="Z67" si="106">SUM(S67:Y67)</f>
        <v>444025.06847291155</v>
      </c>
      <c r="AA67" s="2">
        <f t="shared" ref="AA67" si="107">Z67-Z66</f>
        <v>62748.265141728916</v>
      </c>
      <c r="AB67" s="6">
        <f t="shared" ref="AB67" si="108">(AA67/Z66)</f>
        <v>0.16457404330266809</v>
      </c>
      <c r="AC67" s="7">
        <f t="shared" ref="AC67" si="109">AB67+1</f>
        <v>1.1645740433026681</v>
      </c>
      <c r="AD67" s="2">
        <f t="shared" ref="AD67" si="110">Z67-(I67-O67)</f>
        <v>0</v>
      </c>
      <c r="AF67">
        <f t="shared" ref="AF67" si="111">A67</f>
        <v>2017</v>
      </c>
      <c r="AG67" s="6">
        <f t="shared" ref="AG67" si="112">S67/$Z67</f>
        <v>0.34864098509157415</v>
      </c>
      <c r="AH67" s="7"/>
      <c r="AI67" s="6">
        <f t="shared" ref="AI67" si="113">U67/$Z67</f>
        <v>0.36558307436061049</v>
      </c>
      <c r="AJ67" s="6">
        <f t="shared" ref="AJ67" si="114">V67/$Z67</f>
        <v>7.653169378948825E-2</v>
      </c>
      <c r="AK67" s="7"/>
      <c r="AL67" s="6">
        <f t="shared" ref="AL67" si="115">X67/$Z67</f>
        <v>9.7946273816267207E-2</v>
      </c>
      <c r="AM67" s="6">
        <f t="shared" ref="AM67" si="116">Y67/$Z67</f>
        <v>0.11129797294205984</v>
      </c>
      <c r="AN67" s="6">
        <f t="shared" ref="AN67" si="117">SUM(AG67:AM67)</f>
        <v>1</v>
      </c>
      <c r="AO67" s="7">
        <f t="shared" ref="AO67" si="118">SUM(AG67:AL67)</f>
        <v>0.8887020270579401</v>
      </c>
      <c r="AP67" s="7">
        <f t="shared" ref="AP67" si="119">AN67-(AO67+AM67)</f>
        <v>0</v>
      </c>
    </row>
    <row r="68" spans="1:42" x14ac:dyDescent="0.25">
      <c r="A68">
        <f t="shared" si="90"/>
        <v>2017</v>
      </c>
      <c r="B68" s="2">
        <f t="shared" ref="B68:B69" si="120">S67*(1+(B32/100))</f>
        <v>188351.65386583787</v>
      </c>
      <c r="C68" s="2"/>
      <c r="D68" s="2">
        <f t="shared" ref="D68:D69" si="121">U67*(1+(D32/100))</f>
        <v>194144.34735210706</v>
      </c>
      <c r="E68" s="2">
        <f t="shared" ref="E68:E69" si="122">V67*(1+(E32/100))</f>
        <v>39453.091057836711</v>
      </c>
      <c r="F68" s="2"/>
      <c r="G68" s="2">
        <f t="shared" ref="G68:G69" si="123">X67*(1+(G32/100))</f>
        <v>55407.025594928673</v>
      </c>
      <c r="H68" s="2">
        <f t="shared" ref="H68:H69" si="124">Y67*(1+(H32/100))</f>
        <v>51128.990572449082</v>
      </c>
      <c r="I68" s="2">
        <f t="shared" ref="I68:I69" si="125">SUM(B68:H68)</f>
        <v>528485.10844315938</v>
      </c>
      <c r="J68" s="2">
        <f t="shared" ref="J68:J69" si="126">I68-I67</f>
        <v>76096.063886328891</v>
      </c>
      <c r="K68" s="6">
        <f t="shared" ref="K68:K69" si="127">(J68/I67)</f>
        <v>0.1682093428254306</v>
      </c>
      <c r="L68" s="7">
        <f t="shared" ref="L68:L69" si="128">K68+1</f>
        <v>1.1682093428254305</v>
      </c>
      <c r="N68">
        <f t="shared" ref="N68:N69" si="129">A68</f>
        <v>2017</v>
      </c>
      <c r="O68" s="2">
        <f t="shared" si="99"/>
        <v>8550.4927505902924</v>
      </c>
      <c r="P68" s="2"/>
      <c r="R68">
        <f t="shared" ref="R68:R69" si="130">A68</f>
        <v>2017</v>
      </c>
      <c r="S68" s="2">
        <f t="shared" ref="S68:S69" si="131">B68-($O68/5)</f>
        <v>186641.5553157198</v>
      </c>
      <c r="T68" s="2"/>
      <c r="U68" s="2">
        <f t="shared" ref="U68:U69" si="132">D68-($O68/5)</f>
        <v>192434.24880198899</v>
      </c>
      <c r="V68" s="2">
        <f t="shared" ref="V68:V69" si="133">E68-($O68/5)</f>
        <v>37742.992507718649</v>
      </c>
      <c r="W68" s="2"/>
      <c r="X68" s="2">
        <f t="shared" ref="X68:X69" si="134">G68-($O68/5)</f>
        <v>53696.927044810611</v>
      </c>
      <c r="Y68" s="2">
        <f t="shared" ref="Y68:Y69" si="135">H68-($O68/5)</f>
        <v>49418.892022331027</v>
      </c>
      <c r="Z68" s="2">
        <f t="shared" ref="Z68:Z69" si="136">SUM(S68:Y68)</f>
        <v>519934.61569256906</v>
      </c>
      <c r="AA68" s="2">
        <f t="shared" ref="AA68:AA69" si="137">Z68-Z67</f>
        <v>75909.547219657514</v>
      </c>
      <c r="AB68" s="6">
        <f t="shared" ref="AB68:AB69" si="138">(AA68/Z67)</f>
        <v>0.17095779632606148</v>
      </c>
      <c r="AC68" s="7">
        <f t="shared" ref="AC68:AC69" si="139">AB68+1</f>
        <v>1.1709577963260616</v>
      </c>
      <c r="AD68" s="2">
        <f t="shared" ref="AD68:AD69" si="140">Z68-(I68-O68)</f>
        <v>0</v>
      </c>
      <c r="AF68">
        <f t="shared" ref="AF68:AF69" si="141">A68</f>
        <v>2017</v>
      </c>
      <c r="AG68" s="6">
        <f t="shared" ref="AG68:AG69" si="142">S68/$Z68</f>
        <v>0.35897120461407911</v>
      </c>
      <c r="AH68" s="7"/>
      <c r="AI68" s="6">
        <f t="shared" ref="AI68:AI69" si="143">U68/$Z68</f>
        <v>0.37011240066341916</v>
      </c>
      <c r="AJ68" s="6">
        <f t="shared" ref="AJ68:AJ69" si="144">V68/$Z68</f>
        <v>7.2591805524323108E-2</v>
      </c>
      <c r="AK68" s="7"/>
      <c r="AL68" s="6">
        <f t="shared" ref="AL68:AL69" si="145">X68/$Z68</f>
        <v>0.1032763071050475</v>
      </c>
      <c r="AM68" s="6">
        <f t="shared" ref="AM68:AM69" si="146">Y68/$Z68</f>
        <v>9.5048282093131126E-2</v>
      </c>
      <c r="AN68" s="6">
        <f t="shared" ref="AN68:AN69" si="147">SUM(AG68:AM68)</f>
        <v>1</v>
      </c>
      <c r="AO68" s="7">
        <f t="shared" ref="AO68:AO69" si="148">SUM(AG68:AL68)</f>
        <v>0.9049517179068689</v>
      </c>
      <c r="AP68" s="7">
        <f t="shared" ref="AP68:AP69" si="149">AN68-(AO68+AM68)</f>
        <v>0</v>
      </c>
    </row>
    <row r="69" spans="1:42" x14ac:dyDescent="0.25">
      <c r="A69">
        <f t="shared" si="90"/>
        <v>2017</v>
      </c>
      <c r="B69" s="2">
        <f t="shared" si="120"/>
        <v>227086.78035263627</v>
      </c>
      <c r="C69" s="2"/>
      <c r="D69" s="2">
        <f t="shared" si="121"/>
        <v>230151.36156717883</v>
      </c>
      <c r="E69" s="2">
        <f t="shared" si="122"/>
        <v>43819.614301461355</v>
      </c>
      <c r="F69" s="2"/>
      <c r="G69" s="2">
        <f t="shared" si="123"/>
        <v>68409.885055088715</v>
      </c>
      <c r="H69" s="2">
        <f t="shared" si="124"/>
        <v>51128.78568630368</v>
      </c>
      <c r="I69" s="2">
        <f t="shared" si="125"/>
        <v>620596.42696266877</v>
      </c>
      <c r="J69" s="2">
        <f t="shared" si="126"/>
        <v>92111.318519509397</v>
      </c>
      <c r="K69" s="6">
        <f t="shared" si="127"/>
        <v>0.17429312018054019</v>
      </c>
      <c r="L69" s="7">
        <f t="shared" si="128"/>
        <v>1.1742931201805402</v>
      </c>
      <c r="N69">
        <f t="shared" si="129"/>
        <v>2017</v>
      </c>
      <c r="O69" s="2">
        <f t="shared" si="99"/>
        <v>8741.1687389284562</v>
      </c>
      <c r="P69" s="2"/>
      <c r="R69">
        <f t="shared" si="130"/>
        <v>2017</v>
      </c>
      <c r="S69" s="2">
        <f t="shared" si="131"/>
        <v>225338.54660485059</v>
      </c>
      <c r="T69" s="2"/>
      <c r="U69" s="2">
        <f t="shared" si="132"/>
        <v>228403.12781939315</v>
      </c>
      <c r="V69" s="2">
        <f t="shared" si="133"/>
        <v>42071.380553675663</v>
      </c>
      <c r="W69" s="2"/>
      <c r="X69" s="2">
        <f t="shared" si="134"/>
        <v>66661.651307303022</v>
      </c>
      <c r="Y69" s="2">
        <f t="shared" si="135"/>
        <v>49380.551938517987</v>
      </c>
      <c r="Z69" s="2">
        <f t="shared" si="136"/>
        <v>611855.25822374038</v>
      </c>
      <c r="AA69" s="2">
        <f t="shared" si="137"/>
        <v>91920.642531171325</v>
      </c>
      <c r="AB69" s="6">
        <f t="shared" si="138"/>
        <v>0.17679269615224633</v>
      </c>
      <c r="AC69" s="7">
        <f t="shared" si="139"/>
        <v>1.1767926961522464</v>
      </c>
      <c r="AD69" s="2">
        <f t="shared" si="140"/>
        <v>0</v>
      </c>
      <c r="AF69">
        <f t="shared" si="141"/>
        <v>2017</v>
      </c>
      <c r="AG69" s="6">
        <f t="shared" si="142"/>
        <v>0.3682873417792053</v>
      </c>
      <c r="AH69" s="7"/>
      <c r="AI69" s="6">
        <f t="shared" si="143"/>
        <v>0.37329601200529644</v>
      </c>
      <c r="AJ69" s="6">
        <f t="shared" si="144"/>
        <v>6.8760348118625136E-2</v>
      </c>
      <c r="AK69" s="7"/>
      <c r="AL69" s="6">
        <f t="shared" si="145"/>
        <v>0.10895003419734688</v>
      </c>
      <c r="AM69" s="6">
        <f t="shared" si="146"/>
        <v>8.0706263899526273E-2</v>
      </c>
      <c r="AN69" s="6">
        <f t="shared" si="147"/>
        <v>1</v>
      </c>
      <c r="AO69" s="7">
        <f t="shared" si="148"/>
        <v>0.91929373610047382</v>
      </c>
      <c r="AP69" s="7">
        <f t="shared" si="149"/>
        <v>0</v>
      </c>
    </row>
    <row r="70" spans="1:42" x14ac:dyDescent="0.25">
      <c r="A70" s="9" t="s">
        <v>79</v>
      </c>
      <c r="B70" s="10">
        <f>S70</f>
        <v>225338.54660485059</v>
      </c>
      <c r="C70" s="10"/>
      <c r="D70" s="10">
        <f>U70</f>
        <v>228403.12781939315</v>
      </c>
      <c r="E70" s="10">
        <f>V70</f>
        <v>42071.380553675663</v>
      </c>
      <c r="F70" s="10"/>
      <c r="G70" s="10">
        <f>X70</f>
        <v>66661.651307303022</v>
      </c>
      <c r="H70" s="10">
        <f>Y70</f>
        <v>49380.551938517987</v>
      </c>
      <c r="I70" s="10">
        <f>SUM(B70:H70)</f>
        <v>611855.25822374038</v>
      </c>
      <c r="J70" s="10"/>
      <c r="K70" s="10"/>
      <c r="N70" t="s">
        <v>40</v>
      </c>
      <c r="O70" s="2">
        <f>O69</f>
        <v>8741.1687389284562</v>
      </c>
      <c r="P70" s="2"/>
      <c r="R70" s="9" t="s">
        <v>79</v>
      </c>
      <c r="S70" s="10">
        <f>S69</f>
        <v>225338.54660485059</v>
      </c>
      <c r="T70" s="10"/>
      <c r="U70" s="10">
        <f>U69</f>
        <v>228403.12781939315</v>
      </c>
      <c r="V70" s="10">
        <f>V69</f>
        <v>42071.380553675663</v>
      </c>
      <c r="W70" s="10"/>
      <c r="X70" s="10">
        <f>X69</f>
        <v>66661.651307303022</v>
      </c>
      <c r="Y70" s="10">
        <f>Y69</f>
        <v>49380.551938517987</v>
      </c>
      <c r="Z70" s="10">
        <f>SUM(S70:Y70)</f>
        <v>611855.25822374038</v>
      </c>
      <c r="AA70" s="43"/>
      <c r="AB70" s="43"/>
      <c r="AC70" s="43"/>
      <c r="AD70" s="43"/>
      <c r="AJ70" s="7"/>
    </row>
    <row r="71" spans="1:42" x14ac:dyDescent="0.25">
      <c r="A71" s="11" t="s">
        <v>11</v>
      </c>
      <c r="I71" s="6">
        <f>(Z70-Z39)/Z39</f>
        <v>5.1185525822374043</v>
      </c>
      <c r="K71" s="6"/>
      <c r="N71" t="s">
        <v>71</v>
      </c>
      <c r="O71" s="2">
        <f>SUM(O40:O69)</f>
        <v>198195.99869006357</v>
      </c>
      <c r="P71" s="2"/>
      <c r="AH71" s="7"/>
      <c r="AJ71" s="7"/>
    </row>
    <row r="72" spans="1:42" x14ac:dyDescent="0.25">
      <c r="A72" s="1" t="s">
        <v>12</v>
      </c>
      <c r="I72" s="12">
        <f>STDEV(AC40:AC69)</f>
        <v>0.11271668344654795</v>
      </c>
      <c r="AI72" s="7"/>
    </row>
    <row r="73" spans="1:42" x14ac:dyDescent="0.25">
      <c r="A73" s="1" t="s">
        <v>13</v>
      </c>
      <c r="I73" s="13">
        <f>((1+I71)^(1/I80))-1</f>
        <v>6.2237485423144445E-2</v>
      </c>
    </row>
    <row r="74" spans="1:42" x14ac:dyDescent="0.25">
      <c r="A74" s="1" t="s">
        <v>83</v>
      </c>
      <c r="I74" s="31">
        <f>J60</f>
        <v>36076.389530474931</v>
      </c>
      <c r="O74" s="2"/>
      <c r="P74" s="2"/>
    </row>
    <row r="75" spans="1:42" x14ac:dyDescent="0.25">
      <c r="A75" s="1" t="s">
        <v>84</v>
      </c>
      <c r="I75" s="32">
        <f>K60</f>
        <v>0.17772801493594495</v>
      </c>
    </row>
    <row r="76" spans="1:42" x14ac:dyDescent="0.25">
      <c r="A76" s="1" t="s">
        <v>43</v>
      </c>
      <c r="I76" s="2">
        <f>O71</f>
        <v>198195.99869006357</v>
      </c>
    </row>
    <row r="77" spans="1:42" x14ac:dyDescent="0.25">
      <c r="A77" s="3" t="s">
        <v>85</v>
      </c>
      <c r="I77" s="33">
        <f>I70-Z70</f>
        <v>0</v>
      </c>
    </row>
    <row r="78" spans="1:42" x14ac:dyDescent="0.25">
      <c r="A78" s="3" t="s">
        <v>149</v>
      </c>
      <c r="I78" s="33">
        <f>((SUM(AA40:AA69)))-(I70-I39)</f>
        <v>0</v>
      </c>
    </row>
    <row r="79" spans="1:42" x14ac:dyDescent="0.25">
      <c r="A79" s="3" t="s">
        <v>148</v>
      </c>
      <c r="I79" s="33">
        <f>(SUM(O40:O69))-I76</f>
        <v>0</v>
      </c>
    </row>
    <row r="80" spans="1:42" x14ac:dyDescent="0.25">
      <c r="A80" s="3" t="s">
        <v>160</v>
      </c>
      <c r="I80" s="3">
        <f>COUNTA(I40:I69)</f>
        <v>30</v>
      </c>
    </row>
    <row r="81" spans="2:9" x14ac:dyDescent="0.25">
      <c r="B81" s="2"/>
      <c r="D81" s="2"/>
      <c r="E81" s="2"/>
      <c r="G81" s="2"/>
      <c r="H81" s="2"/>
      <c r="I81" s="2"/>
    </row>
    <row r="83" spans="2:9" x14ac:dyDescent="0.25">
      <c r="B83" s="63"/>
      <c r="C83" s="63"/>
      <c r="D83" s="63"/>
      <c r="E83" s="63"/>
      <c r="G83" s="63"/>
      <c r="H83" s="63"/>
      <c r="I83" s="63"/>
    </row>
    <row r="84" spans="2:9" x14ac:dyDescent="0.25">
      <c r="B84" s="2"/>
      <c r="D84" s="2"/>
      <c r="E84" s="2"/>
      <c r="G84" s="2"/>
      <c r="H84" s="2"/>
      <c r="I84"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82"/>
  <sheetViews>
    <sheetView zoomScaleNormal="100" workbookViewId="0">
      <pane xSplit="30000" topLeftCell="AV1"/>
      <selection activeCell="A17" sqref="A17"/>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25">
      <c r="A4" s="17">
        <f>'Non-Rebalanced Portfolio'!A4</f>
        <v>1993</v>
      </c>
      <c r="B4" s="17">
        <f>'Non-Rebalanced Portfolio'!B4</f>
        <v>9.89</v>
      </c>
      <c r="C4" s="19">
        <f>'Non-Rebalanced Portfolio'!C4</f>
        <v>14.49</v>
      </c>
      <c r="D4" s="17"/>
      <c r="E4" s="17"/>
      <c r="F4" s="17">
        <f>'Non-Rebalanced Portfolio'!F4</f>
        <v>30.494</v>
      </c>
      <c r="G4" s="17"/>
      <c r="H4" s="17">
        <f>'Non-Rebalanced Portfolio'!H4</f>
        <v>9.68</v>
      </c>
      <c r="N4" s="49">
        <f>'4% Withdrawals-No Rebalancing'!N4</f>
        <v>1993</v>
      </c>
      <c r="O4" s="50">
        <f>'4% Withdrawals-No Rebalancing'!O4</f>
        <v>0.03</v>
      </c>
      <c r="P4" s="44"/>
    </row>
    <row r="5" spans="1:16" x14ac:dyDescent="0.25">
      <c r="A5" s="17">
        <f>'Non-Rebalanced Portfolio'!A5</f>
        <v>1994</v>
      </c>
      <c r="B5" s="17">
        <f>'Non-Rebalanced Portfolio'!B5</f>
        <v>1.18</v>
      </c>
      <c r="C5" s="19">
        <f>'Non-Rebalanced Portfolio'!C5</f>
        <v>-1.764</v>
      </c>
      <c r="D5" s="17"/>
      <c r="E5" s="17"/>
      <c r="F5" s="17">
        <f>'Non-Rebalanced Portfolio'!F5</f>
        <v>5.2549999999999999</v>
      </c>
      <c r="G5" s="17"/>
      <c r="H5" s="17">
        <f>'Non-Rebalanced Portfolio'!H5</f>
        <v>-2.66</v>
      </c>
      <c r="N5" s="49">
        <f>'4% Withdrawals-No Rebalancing'!N5</f>
        <v>1994</v>
      </c>
      <c r="O5" s="50">
        <f>'4% Withdrawals-No Rebalancing'!O5</f>
        <v>2.8000000000000001E-2</v>
      </c>
      <c r="P5" s="44"/>
    </row>
    <row r="6" spans="1:16" x14ac:dyDescent="0.25">
      <c r="A6" s="17">
        <f>'Non-Rebalanced Portfolio'!A6</f>
        <v>1995</v>
      </c>
      <c r="B6" s="17">
        <f>'Non-Rebalanced Portfolio'!B6</f>
        <v>37.450000000000003</v>
      </c>
      <c r="C6" s="19">
        <f>'Non-Rebalanced Portfolio'!C6</f>
        <v>33.796999999999997</v>
      </c>
      <c r="D6" s="17"/>
      <c r="E6" s="17"/>
      <c r="F6" s="17">
        <f>'Non-Rebalanced Portfolio'!F6</f>
        <v>9.6460000000000008</v>
      </c>
      <c r="G6" s="17"/>
      <c r="H6" s="17">
        <f>'Non-Rebalanced Portfolio'!H6</f>
        <v>18.18</v>
      </c>
      <c r="N6" s="49">
        <f>'4% Withdrawals-No Rebalancing'!N6</f>
        <v>1995</v>
      </c>
      <c r="O6" s="50">
        <f>'4% Withdrawals-No Rebalancing'!O6</f>
        <v>2.5999999999999999E-2</v>
      </c>
      <c r="P6" s="44"/>
    </row>
    <row r="7" spans="1:16" x14ac:dyDescent="0.25">
      <c r="A7" s="17">
        <f>'Non-Rebalanced Portfolio'!A7</f>
        <v>1996</v>
      </c>
      <c r="B7" s="17">
        <f>'Non-Rebalanced Portfolio'!B7</f>
        <v>22.88</v>
      </c>
      <c r="C7" s="19">
        <f>'Non-Rebalanced Portfolio'!C7</f>
        <v>17.646999999999998</v>
      </c>
      <c r="D7" s="17"/>
      <c r="E7" s="17"/>
      <c r="F7" s="17">
        <f>'Non-Rebalanced Portfolio'!F7</f>
        <v>10.218999999999999</v>
      </c>
      <c r="G7" s="17"/>
      <c r="H7" s="17">
        <f>'Non-Rebalanced Portfolio'!H7</f>
        <v>3.58</v>
      </c>
      <c r="N7" s="49">
        <f>'4% Withdrawals-No Rebalancing'!N7</f>
        <v>1996</v>
      </c>
      <c r="O7" s="50">
        <f>'4% Withdrawals-No Rebalancing'!O7</f>
        <v>2.5000000000000001E-2</v>
      </c>
      <c r="P7" s="44"/>
    </row>
    <row r="8" spans="1:16" x14ac:dyDescent="0.25">
      <c r="A8" s="17">
        <f>'Non-Rebalanced Portfolio'!A8</f>
        <v>1997</v>
      </c>
      <c r="B8" s="17">
        <f>'Non-Rebalanced Portfolio'!B8</f>
        <v>33.19</v>
      </c>
      <c r="C8" s="19">
        <f>'Non-Rebalanced Portfolio'!C8</f>
        <v>26.687000000000001</v>
      </c>
      <c r="D8" s="17"/>
      <c r="E8" s="17"/>
      <c r="F8" s="17">
        <f>'Non-Rebalanced Portfolio'!F8</f>
        <v>0</v>
      </c>
      <c r="G8" s="17"/>
      <c r="H8" s="17">
        <f>'Non-Rebalanced Portfolio'!H8</f>
        <v>9.44</v>
      </c>
      <c r="N8" s="49">
        <f>'4% Withdrawals-No Rebalancing'!N8</f>
        <v>1997</v>
      </c>
      <c r="O8" s="50">
        <f>'4% Withdrawals-No Rebalancing'!O8</f>
        <v>3.4000000000000002E-2</v>
      </c>
      <c r="P8" s="44"/>
    </row>
    <row r="9" spans="1:16" x14ac:dyDescent="0.25">
      <c r="A9" s="17">
        <f>'Non-Rebalanced Portfolio'!A9</f>
        <v>1998</v>
      </c>
      <c r="B9" s="17">
        <f>'Non-Rebalanced Portfolio'!B9</f>
        <v>28.66</v>
      </c>
      <c r="C9" s="19">
        <f>'Non-Rebalanced Portfolio'!C9</f>
        <v>8.3529999999999998</v>
      </c>
      <c r="D9" s="17"/>
      <c r="E9" s="17"/>
      <c r="F9" s="17">
        <f>'Non-Rebalanced Portfolio'!F9</f>
        <v>0</v>
      </c>
      <c r="G9" s="17"/>
      <c r="H9" s="17">
        <f>'Non-Rebalanced Portfolio'!H9</f>
        <v>8.58</v>
      </c>
      <c r="N9" s="49">
        <f>'4% Withdrawals-No Rebalancing'!N9</f>
        <v>1998</v>
      </c>
      <c r="O9" s="50">
        <f>'4% Withdrawals-No Rebalancing'!O9</f>
        <v>1.7000000000000001E-2</v>
      </c>
      <c r="P9" s="44"/>
    </row>
    <row r="10" spans="1:16" x14ac:dyDescent="0.25">
      <c r="A10" s="17">
        <f>'Non-Rebalanced Portfolio'!A10</f>
        <v>1999</v>
      </c>
      <c r="B10" s="17">
        <f>'Non-Rebalanced Portfolio'!B10</f>
        <v>21.07</v>
      </c>
      <c r="C10" s="19">
        <f>'Non-Rebalanced Portfolio'!C10</f>
        <v>0</v>
      </c>
      <c r="D10" s="17"/>
      <c r="E10" s="17"/>
      <c r="F10" s="17">
        <f>'Non-Rebalanced Portfolio'!F10</f>
        <v>0</v>
      </c>
      <c r="G10" s="17"/>
      <c r="H10" s="17">
        <f>'Non-Rebalanced Portfolio'!H10</f>
        <v>-0.76</v>
      </c>
      <c r="N10" s="49">
        <f>'4% Withdrawals-No Rebalancing'!N10</f>
        <v>1999</v>
      </c>
      <c r="O10" s="50">
        <f>'4% Withdrawals-No Rebalancing'!O10</f>
        <v>1.6E-2</v>
      </c>
      <c r="P10" s="44"/>
    </row>
    <row r="11" spans="1:16" x14ac:dyDescent="0.25">
      <c r="A11" s="17">
        <f>'Non-Rebalanced Portfolio'!A11</f>
        <v>2000</v>
      </c>
      <c r="B11" s="17">
        <f>'Non-Rebalanced Portfolio'!B11</f>
        <v>-9.06</v>
      </c>
      <c r="C11" s="19">
        <f>'Non-Rebalanced Portfolio'!C11</f>
        <v>0</v>
      </c>
      <c r="D11" s="17"/>
      <c r="E11" s="17"/>
      <c r="F11" s="17">
        <f>'Non-Rebalanced Portfolio'!F11</f>
        <v>0</v>
      </c>
      <c r="G11" s="17"/>
      <c r="H11" s="17">
        <f>'Non-Rebalanced Portfolio'!H11</f>
        <v>11.39</v>
      </c>
      <c r="N11" s="49">
        <f>'4% Withdrawals-No Rebalancing'!N11</f>
        <v>2000</v>
      </c>
      <c r="O11" s="50">
        <f>'4% Withdrawals-No Rebalancing'!O11</f>
        <v>2.7E-2</v>
      </c>
      <c r="P11" s="44"/>
    </row>
    <row r="12" spans="1:16" x14ac:dyDescent="0.25">
      <c r="A12" s="17">
        <f>'Non-Rebalanced Portfolio'!A12</f>
        <v>2001</v>
      </c>
      <c r="B12" s="17">
        <f>'Non-Rebalanced Portfolio'!B12</f>
        <v>-12.02</v>
      </c>
      <c r="C12" s="19">
        <f>'Non-Rebalanced Portfolio'!C12</f>
        <v>0</v>
      </c>
      <c r="D12" s="17"/>
      <c r="E12" s="17"/>
      <c r="F12" s="17">
        <f>'Non-Rebalanced Portfolio'!F12</f>
        <v>0</v>
      </c>
      <c r="G12" s="17"/>
      <c r="H12" s="17">
        <f>'Non-Rebalanced Portfolio'!H12</f>
        <v>8.43</v>
      </c>
      <c r="N12" s="49">
        <f>'4% Withdrawals-No Rebalancing'!N12</f>
        <v>2001</v>
      </c>
      <c r="O12" s="50">
        <f>'4% Withdrawals-No Rebalancing'!O12</f>
        <v>3.4000000000000002E-2</v>
      </c>
      <c r="P12" s="44"/>
    </row>
    <row r="13" spans="1:16" x14ac:dyDescent="0.25">
      <c r="A13" s="17">
        <f>'Non-Rebalanced Portfolio'!A13</f>
        <v>2002</v>
      </c>
      <c r="B13" s="17">
        <f>'Non-Rebalanced Portfolio'!B13</f>
        <v>-22.15</v>
      </c>
      <c r="C13" s="19">
        <f>'Non-Rebalanced Portfolio'!C13</f>
        <v>0</v>
      </c>
      <c r="D13" s="17"/>
      <c r="E13" s="17"/>
      <c r="F13" s="17"/>
      <c r="G13" s="17">
        <f>'Non-Rebalanced Portfolio'!G13</f>
        <v>-15.083</v>
      </c>
      <c r="H13" s="17">
        <f>'Non-Rebalanced Portfolio'!H13</f>
        <v>8.26</v>
      </c>
      <c r="N13" s="49">
        <f>'4% Withdrawals-No Rebalancing'!N13</f>
        <v>2002</v>
      </c>
      <c r="O13" s="50">
        <f>'4% Withdrawals-No Rebalancing'!O13</f>
        <v>1.6E-2</v>
      </c>
      <c r="P13" s="44"/>
    </row>
    <row r="14" spans="1:16" x14ac:dyDescent="0.25">
      <c r="A14" s="17">
        <f>'Non-Rebalanced Portfolio'!A14</f>
        <v>2003</v>
      </c>
      <c r="B14" s="17">
        <f>'Non-Rebalanced Portfolio'!B14</f>
        <v>28.5</v>
      </c>
      <c r="C14" s="19">
        <f>'Non-Rebalanced Portfolio'!C14</f>
        <v>0</v>
      </c>
      <c r="D14" s="17"/>
      <c r="E14" s="17"/>
      <c r="F14" s="17"/>
      <c r="G14" s="17">
        <f>'Non-Rebalanced Portfolio'!G14</f>
        <v>40.340000000000003</v>
      </c>
      <c r="H14" s="17">
        <f>'Non-Rebalanced Portfolio'!H14</f>
        <v>3.97</v>
      </c>
      <c r="N14" s="49">
        <f>'4% Withdrawals-No Rebalancing'!N14</f>
        <v>2003</v>
      </c>
      <c r="O14" s="50">
        <f>'4% Withdrawals-No Rebalancing'!O14</f>
        <v>2.5000000000000001E-2</v>
      </c>
      <c r="P14" s="44"/>
    </row>
    <row r="15" spans="1:16"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c r="N15" s="49">
        <f>'4% Withdrawals-No Rebalancing'!N15</f>
        <v>2004</v>
      </c>
      <c r="O15" s="50">
        <f>'4% Withdrawals-No Rebalancing'!O15</f>
        <v>0.02</v>
      </c>
      <c r="P15" s="44"/>
    </row>
    <row r="16" spans="1:16"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c r="N16" s="49">
        <f>'4% Withdrawals-No Rebalancing'!N16</f>
        <v>2005</v>
      </c>
      <c r="O16" s="50">
        <f>'4% Withdrawals-No Rebalancing'!O16</f>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9">
        <f>'4% Withdrawals-No Rebalancing'!N17</f>
        <v>2006</v>
      </c>
      <c r="O17" s="50">
        <f>'4% Withdrawals-No Rebalancing'!O17</f>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9">
        <f>'4% Withdrawals-No Rebalancing'!N18</f>
        <v>2007</v>
      </c>
      <c r="O18" s="50">
        <f>'4% Withdrawals-No Rebalancing'!O18</f>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9">
        <f>'4% Withdrawals-No Rebalancing'!N19</f>
        <v>2008</v>
      </c>
      <c r="O19" s="50">
        <f>'4% Withdrawals-No Rebalancing'!O19</f>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9">
        <f>'4% Withdrawals-No Rebalancing'!N20</f>
        <v>2009</v>
      </c>
      <c r="O20" s="50">
        <f>'4% Withdrawals-No Rebalancing'!O20</f>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9">
        <f>'4% Withdrawals-No Rebalancing'!N21</f>
        <v>2010</v>
      </c>
      <c r="O21" s="50">
        <f>'4% Withdrawals-No Rebalancing'!O21</f>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9">
        <f>'4% Withdrawals-No Rebalancing'!N22</f>
        <v>2011</v>
      </c>
      <c r="O22" s="50">
        <f>'4% Withdrawals-No Rebalancing'!O22</f>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9">
        <f>'4% Withdrawals-No Rebalancing'!N23</f>
        <v>2012</v>
      </c>
      <c r="O23" s="50">
        <f>'4% Withdrawals-No Rebalancing'!O23</f>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9">
        <f>'4% Withdrawals-No Rebalancing'!N24</f>
        <v>2013</v>
      </c>
      <c r="O24" s="50">
        <f>'4% Withdrawals-No Rebalancing'!O24</f>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9">
        <f>'4% Withdrawals-No Rebalancing'!N25</f>
        <v>2014</v>
      </c>
      <c r="O25" s="50">
        <f>'4% Withdrawals-No Rebalancing'!O25</f>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9">
        <f>'4% Withdrawals-No Rebalancing'!N26</f>
        <v>2015</v>
      </c>
      <c r="O26" s="50">
        <f>'4% Withdrawals-No Rebalancing'!O26</f>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9">
        <f>'4% Withdrawals-No Rebalancing'!N27</f>
        <v>2016</v>
      </c>
      <c r="O27" s="50">
        <f>'4% Withdrawals-No Rebalancing'!O27</f>
        <v>4.4000000000000003E-3</v>
      </c>
    </row>
    <row r="28" spans="1:16" x14ac:dyDescent="0.25">
      <c r="A28" s="17">
        <f>'Non-Rebalanced Portfolio'!A28</f>
        <v>2017</v>
      </c>
      <c r="B28" s="17">
        <f>'Non-Rebalanced Portfolio'!B28</f>
        <v>21.67</v>
      </c>
      <c r="C28" s="17"/>
      <c r="D28" s="17">
        <f>'Non-Rebalanced Portfolio'!D28</f>
        <v>19.600000000000001</v>
      </c>
      <c r="E28" s="17">
        <f>'Non-Rebalanced Portfolio'!E28</f>
        <v>16.100000000000001</v>
      </c>
      <c r="F28" s="17"/>
      <c r="G28" s="17">
        <f>'Non-Rebalanced Portfolio'!G28</f>
        <v>27.4</v>
      </c>
      <c r="H28" s="17">
        <f>'Non-Rebalanced Portfolio'!H28</f>
        <v>3.46</v>
      </c>
      <c r="N28" s="49">
        <f>'4% Withdrawals-No Rebalancing'!N28</f>
        <v>2017</v>
      </c>
      <c r="O28" s="50">
        <f>'4% Withdrawals-No Rebalancing'!O28</f>
        <v>1.7000000000000001E-2</v>
      </c>
    </row>
    <row r="29" spans="1:16" x14ac:dyDescent="0.25">
      <c r="A29" s="17">
        <f>'Non-Rebalanced Portfolio'!A29</f>
        <v>2017</v>
      </c>
      <c r="B29" s="17">
        <f>'Non-Rebalanced Portfolio'!B29</f>
        <v>21.67</v>
      </c>
      <c r="C29" s="17"/>
      <c r="D29" s="17">
        <f>'Non-Rebalanced Portfolio'!D29</f>
        <v>19.600000000000001</v>
      </c>
      <c r="E29" s="17">
        <f>'Non-Rebalanced Portfolio'!E29</f>
        <v>16.100000000000001</v>
      </c>
      <c r="F29" s="17"/>
      <c r="G29" s="17">
        <f>'Non-Rebalanced Portfolio'!G29</f>
        <v>27.4</v>
      </c>
      <c r="H29" s="17">
        <f>'Non-Rebalanced Portfolio'!H29</f>
        <v>3.46</v>
      </c>
      <c r="N29" s="49">
        <f>'4% Withdrawals-No Rebalancing'!N29</f>
        <v>2017</v>
      </c>
      <c r="O29" s="50">
        <f>'4% Withdrawals-No Rebalancing'!O29</f>
        <v>2.23E-2</v>
      </c>
    </row>
    <row r="30" spans="1:16" x14ac:dyDescent="0.25">
      <c r="A30" s="17">
        <f>'Non-Rebalanced Portfolio'!A30</f>
        <v>2017</v>
      </c>
      <c r="B30" s="17">
        <f>'Non-Rebalanced Portfolio'!B30</f>
        <v>21.67</v>
      </c>
      <c r="C30" s="17"/>
      <c r="D30" s="17">
        <f>'Non-Rebalanced Portfolio'!D30</f>
        <v>19.600000000000001</v>
      </c>
      <c r="E30" s="17">
        <f>'Non-Rebalanced Portfolio'!E30</f>
        <v>16.100000000000001</v>
      </c>
      <c r="F30" s="17"/>
      <c r="G30" s="17">
        <f>'Non-Rebalanced Portfolio'!G30</f>
        <v>27.4</v>
      </c>
      <c r="H30" s="17">
        <f>'Non-Rebalanced Portfolio'!H30</f>
        <v>3.46</v>
      </c>
      <c r="N30" s="49">
        <f>'4% Withdrawals-No Rebalancing'!N30</f>
        <v>2017</v>
      </c>
      <c r="O30" s="50">
        <f>'4% Withdrawals-No Rebalancing'!O30</f>
        <v>2.23E-2</v>
      </c>
    </row>
    <row r="31" spans="1:16" x14ac:dyDescent="0.25">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 Withdrawals-No Rebalancing'!N31</f>
        <v>2017</v>
      </c>
      <c r="O31" s="50">
        <f>'4% Withdrawals-No Rebalancing'!O31</f>
        <v>2.23E-2</v>
      </c>
    </row>
    <row r="32" spans="1:16" x14ac:dyDescent="0.25">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 Withdrawals-No Rebalancing'!N32</f>
        <v>2017</v>
      </c>
      <c r="O32" s="50">
        <f>'4% Withdrawals-No Rebalancing'!O32</f>
        <v>2.23E-2</v>
      </c>
    </row>
    <row r="33" spans="1:72"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6" spans="1:72" x14ac:dyDescent="0.25">
      <c r="A36" s="20" t="s">
        <v>117</v>
      </c>
      <c r="N36" s="20" t="s">
        <v>25</v>
      </c>
      <c r="R36" s="20" t="s">
        <v>118</v>
      </c>
      <c r="AG36" s="20" t="s">
        <v>119</v>
      </c>
      <c r="AS36" s="20" t="s">
        <v>7</v>
      </c>
      <c r="BC36" s="20" t="s">
        <v>120</v>
      </c>
    </row>
    <row r="37" spans="1:7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Y37"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7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ref="S38:Z39" si="5">B38</f>
        <v>VFINX</v>
      </c>
      <c r="T38" s="4" t="str">
        <f t="shared" si="5"/>
        <v>VEXMX</v>
      </c>
      <c r="U38" s="4" t="str">
        <f t="shared" si="5"/>
        <v>VIMSX</v>
      </c>
      <c r="V38" s="4" t="str">
        <f t="shared" si="5"/>
        <v>NAESX</v>
      </c>
      <c r="W38" s="4" t="str">
        <f t="shared" si="5"/>
        <v>VTRIX</v>
      </c>
      <c r="X38" s="4" t="str">
        <f t="shared" si="5"/>
        <v>VGTSX</v>
      </c>
      <c r="Y38" s="4" t="str">
        <f t="shared" si="5"/>
        <v>VBMFX</v>
      </c>
      <c r="Z38" s="5" t="str">
        <f t="shared" si="5"/>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72" x14ac:dyDescent="0.25">
      <c r="A39" t="s">
        <v>72</v>
      </c>
      <c r="B39" s="2">
        <v>20000</v>
      </c>
      <c r="C39" s="2">
        <v>30000</v>
      </c>
      <c r="F39" s="2">
        <v>20000</v>
      </c>
      <c r="H39" s="2">
        <v>30000</v>
      </c>
      <c r="I39" s="2">
        <f>SUM(B39:H39)</f>
        <v>100000</v>
      </c>
      <c r="N39" s="21"/>
      <c r="R39" t="str">
        <f>A39</f>
        <v>Stating Balance</v>
      </c>
      <c r="S39" s="2">
        <f>B39</f>
        <v>20000</v>
      </c>
      <c r="T39" s="2">
        <f t="shared" si="5"/>
        <v>30000</v>
      </c>
      <c r="U39" s="2">
        <f t="shared" si="5"/>
        <v>0</v>
      </c>
      <c r="V39" s="2">
        <f t="shared" si="5"/>
        <v>0</v>
      </c>
      <c r="W39" s="2">
        <f t="shared" si="5"/>
        <v>20000</v>
      </c>
      <c r="X39" s="2">
        <f t="shared" si="5"/>
        <v>0</v>
      </c>
      <c r="Y39" s="2">
        <f t="shared" si="5"/>
        <v>30000</v>
      </c>
      <c r="Z39" s="2">
        <f t="shared" si="5"/>
        <v>100000</v>
      </c>
      <c r="AD39" s="2"/>
      <c r="AE39" s="2"/>
      <c r="AG39" s="21" t="s">
        <v>87</v>
      </c>
      <c r="AH39" s="6">
        <f t="shared" ref="AH39:AH50" si="6">S39/$Z39</f>
        <v>0.2</v>
      </c>
      <c r="AI39" s="6">
        <f t="shared" ref="AI39:AI50" si="7">T39/$Z39</f>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72" x14ac:dyDescent="0.25">
      <c r="A40">
        <f t="shared" ref="A40:A69" si="8">A4</f>
        <v>1993</v>
      </c>
      <c r="B40" s="2">
        <f>B39*(1+(B4/100))</f>
        <v>21978</v>
      </c>
      <c r="C40" s="2">
        <f>C39*(1+(C4/100))</f>
        <v>34347</v>
      </c>
      <c r="D40" s="2"/>
      <c r="E40" s="2"/>
      <c r="F40" s="2">
        <f>F39*(1+(F4/100))</f>
        <v>26098.799999999999</v>
      </c>
      <c r="G40" s="2"/>
      <c r="H40" s="2">
        <f>H39*(1+(H4/100))</f>
        <v>32904</v>
      </c>
      <c r="I40" s="2">
        <f>SUM(B40:H40)</f>
        <v>115327.8</v>
      </c>
      <c r="J40" s="2">
        <f>I40-I39</f>
        <v>15327.800000000003</v>
      </c>
      <c r="K40" s="6">
        <f>(J40/I39)</f>
        <v>0.15327800000000003</v>
      </c>
      <c r="L40" s="7">
        <f>K40+1</f>
        <v>1.153278</v>
      </c>
      <c r="N40">
        <f>A40</f>
        <v>1993</v>
      </c>
      <c r="O40" s="2">
        <f>I40*0.04</f>
        <v>4613.1120000000001</v>
      </c>
      <c r="P40" s="2"/>
      <c r="Q40" s="2"/>
      <c r="R40">
        <f>A40</f>
        <v>1993</v>
      </c>
      <c r="S40" s="2">
        <f>B40-($O40/4)</f>
        <v>20824.722000000002</v>
      </c>
      <c r="T40" s="2">
        <f>C40-($O40/4)</f>
        <v>33193.722000000002</v>
      </c>
      <c r="U40" s="2"/>
      <c r="V40" s="2"/>
      <c r="W40" s="2">
        <f t="shared" ref="W40:W48" si="9">F40-($O40/4)</f>
        <v>24945.522000000001</v>
      </c>
      <c r="X40" s="2"/>
      <c r="Y40" s="2">
        <f>H40-($O40/4)</f>
        <v>31750.722000000002</v>
      </c>
      <c r="Z40" s="2">
        <f>SUM(S40:Y40)</f>
        <v>110714.68799999999</v>
      </c>
      <c r="AA40" s="2">
        <f>Z40-Z39</f>
        <v>10714.687999999995</v>
      </c>
      <c r="AB40" s="6">
        <f>(AA40/Z39)</f>
        <v>0.10714687999999994</v>
      </c>
      <c r="AC40" s="7">
        <f>AB40+1</f>
        <v>1.1071468799999999</v>
      </c>
      <c r="AD40" s="2">
        <f>Z40-(I40-O40)</f>
        <v>0</v>
      </c>
      <c r="AE40" s="2"/>
      <c r="AG40">
        <f>A40</f>
        <v>1993</v>
      </c>
      <c r="AH40" s="6">
        <f t="shared" si="6"/>
        <v>0.18809357977868305</v>
      </c>
      <c r="AI40" s="6">
        <f t="shared" si="7"/>
        <v>0.29981317384013223</v>
      </c>
      <c r="AJ40" s="7"/>
      <c r="AK40" s="7"/>
      <c r="AL40" s="6">
        <f>W40/$Z40</f>
        <v>0.22531357357029269</v>
      </c>
      <c r="AM40" s="7"/>
      <c r="AN40" s="6">
        <f>Y40/$Z40</f>
        <v>0.28677967281089212</v>
      </c>
      <c r="AO40" s="6">
        <f>SUM(AH40:AN40)</f>
        <v>1</v>
      </c>
      <c r="AP40" s="7">
        <f>SUM(AH40:AM40)</f>
        <v>0.71322032718910799</v>
      </c>
      <c r="AQ40" s="7">
        <f>AO40-(AP40+AN40)</f>
        <v>0</v>
      </c>
      <c r="AR40" s="24"/>
      <c r="AS40">
        <f>AG40</f>
        <v>1993</v>
      </c>
      <c r="AT40" s="1" t="b">
        <f>AND((S40/$Z40)&gt;0.15,(S40/$Z40)&lt;0.25)</f>
        <v>1</v>
      </c>
      <c r="AU40" s="1" t="b">
        <f>AND((T40/$Z40)&gt;0.25,(T40/$Z40)&lt;0.35)</f>
        <v>1</v>
      </c>
      <c r="AX40" s="1" t="b">
        <f t="shared" ref="AX40:AX48" si="10">AND((W40/$Z40)&gt;0.15,(W40/$Z40)&lt;0.25)</f>
        <v>1</v>
      </c>
      <c r="AZ40" s="1" t="b">
        <f>AND((Y40/$Z40)&gt;0.25,(Y40/$Z40)&lt;0.35)</f>
        <v>1</v>
      </c>
      <c r="BA40" s="1" t="b">
        <f>AND((Z40/$Z40)&gt;0.999,(Z40/$Z40)&lt;1.01)</f>
        <v>1</v>
      </c>
      <c r="BC40">
        <f>AS40</f>
        <v>1993</v>
      </c>
      <c r="BD40" s="2">
        <f>S40</f>
        <v>20824.722000000002</v>
      </c>
      <c r="BE40" s="2">
        <f>T40</f>
        <v>33193.722000000002</v>
      </c>
      <c r="BF40" s="2"/>
      <c r="BG40" s="2"/>
      <c r="BH40" s="2">
        <f t="shared" ref="BH40:BH47" si="11">W40</f>
        <v>24945.522000000001</v>
      </c>
      <c r="BI40" s="2"/>
      <c r="BJ40" s="2">
        <f>Y40</f>
        <v>31750.722000000002</v>
      </c>
      <c r="BK40" s="2">
        <f>Z40</f>
        <v>110714.68799999999</v>
      </c>
      <c r="BL40" s="2">
        <f>SUM(BD40:BJ40)-Z40</f>
        <v>0</v>
      </c>
      <c r="BM40" s="2"/>
    </row>
    <row r="41" spans="1:72" x14ac:dyDescent="0.25">
      <c r="A41">
        <f t="shared" si="8"/>
        <v>1994</v>
      </c>
      <c r="B41" s="2">
        <f t="shared" ref="B41:B50" si="12">BD40*(1+(B5/100))</f>
        <v>21070.453719600002</v>
      </c>
      <c r="C41" s="2">
        <f t="shared" ref="C41:C50" si="13">BE40*(1+(C5/100))</f>
        <v>32608.184743920003</v>
      </c>
      <c r="D41" s="2"/>
      <c r="E41" s="2"/>
      <c r="F41" s="2">
        <f t="shared" ref="F41:F48" si="14">BH40*(1+(F5/100))</f>
        <v>26256.409181100003</v>
      </c>
      <c r="G41" s="2"/>
      <c r="H41" s="2">
        <f t="shared" ref="H41:H66" si="15">BJ40*(1+(H5/100))</f>
        <v>30906.152794800004</v>
      </c>
      <c r="I41" s="2">
        <f>SUM(B41:H41)</f>
        <v>110841.20043942</v>
      </c>
      <c r="J41" s="2">
        <f t="shared" ref="J41:J64" si="16">I41-I40</f>
        <v>-4486.5995605799981</v>
      </c>
      <c r="K41" s="6">
        <f t="shared" ref="K41:K64" si="17">(J41/I40)</f>
        <v>-3.8903018704770212E-2</v>
      </c>
      <c r="L41" s="7">
        <f t="shared" ref="L41:L64" si="18">K41+1</f>
        <v>0.9610969812952298</v>
      </c>
      <c r="N41">
        <f t="shared" ref="N41:N64" si="19">A41</f>
        <v>1994</v>
      </c>
      <c r="O41" s="2">
        <f t="shared" ref="O41:O69" si="20">O40*(1+O5)</f>
        <v>4742.2791360000001</v>
      </c>
      <c r="P41" s="2"/>
      <c r="Q41" s="2"/>
      <c r="R41">
        <f t="shared" ref="R41:R64" si="21">A41</f>
        <v>1994</v>
      </c>
      <c r="S41" s="2">
        <f t="shared" ref="S41:T49" si="22">B41-($O41/4)</f>
        <v>19884.883935600003</v>
      </c>
      <c r="T41" s="2">
        <f t="shared" si="22"/>
        <v>31422.614959920003</v>
      </c>
      <c r="U41" s="2"/>
      <c r="V41" s="2"/>
      <c r="W41" s="2">
        <f t="shared" si="9"/>
        <v>25070.839397100004</v>
      </c>
      <c r="X41" s="2"/>
      <c r="Y41" s="2">
        <f t="shared" ref="Y41:Y49" si="23">H41-($O41/4)</f>
        <v>29720.583010800005</v>
      </c>
      <c r="Z41" s="2">
        <f t="shared" ref="Z41:Z64" si="24">SUM(S41:Y41)</f>
        <v>106098.92130342002</v>
      </c>
      <c r="AA41" s="2">
        <f t="shared" ref="AA41:AA55" si="25">Z41-Z40</f>
        <v>-4615.7666965799726</v>
      </c>
      <c r="AB41" s="6">
        <f t="shared" ref="AB41:AB55" si="26">(AA41/Z40)</f>
        <v>-4.1690644484135411E-2</v>
      </c>
      <c r="AC41" s="7">
        <f t="shared" ref="AC41:AC64" si="27">AB41+1</f>
        <v>0.9583093555158646</v>
      </c>
      <c r="AD41" s="2">
        <f t="shared" ref="AD41:AD64" si="28">Z41-(I41-O41)</f>
        <v>0</v>
      </c>
      <c r="AE41" s="2"/>
      <c r="AG41">
        <f t="shared" ref="AG41:AG64" si="29">A41</f>
        <v>1994</v>
      </c>
      <c r="AH41" s="6">
        <f t="shared" si="6"/>
        <v>0.18741834215951664</v>
      </c>
      <c r="AI41" s="6">
        <f t="shared" si="7"/>
        <v>0.29616337823132155</v>
      </c>
      <c r="AJ41" s="7"/>
      <c r="AK41" s="7"/>
      <c r="AL41" s="6">
        <f t="shared" ref="AL41:AM56" si="30">W41/$Z41</f>
        <v>0.23629683590658582</v>
      </c>
      <c r="AM41" s="7"/>
      <c r="AN41" s="6">
        <f t="shared" ref="AN41:AN64" si="31">Y41/$Z41</f>
        <v>0.28012144370257591</v>
      </c>
      <c r="AO41" s="6">
        <f t="shared" ref="AO41:AO64" si="32">SUM(AH41:AN41)</f>
        <v>1</v>
      </c>
      <c r="AP41" s="7">
        <f t="shared" ref="AP41:AP64" si="33">SUM(AH41:AM41)</f>
        <v>0.71987855629742403</v>
      </c>
      <c r="AQ41" s="7">
        <f t="shared" ref="AQ41:AQ64" si="34">AO41-(AP41+AN41)</f>
        <v>0</v>
      </c>
      <c r="AR41" s="24"/>
      <c r="AS41">
        <f t="shared" ref="AS41:AS64" si="35">AG41</f>
        <v>1994</v>
      </c>
      <c r="AT41" s="1" t="b">
        <f t="shared" ref="AT41:AT64" si="36">AND((S41/$Z41)&gt;0.15,(S41/$Z41)&lt;0.25)</f>
        <v>1</v>
      </c>
      <c r="AU41" s="1" t="b">
        <f t="shared" ref="AU41:AU50" si="37">AND((T41/$Z41)&gt;0.25,(T41/$Z41)&lt;0.35)</f>
        <v>1</v>
      </c>
      <c r="AX41" s="1" t="b">
        <f t="shared" si="10"/>
        <v>1</v>
      </c>
      <c r="AZ41" s="1" t="b">
        <f t="shared" ref="AZ41:AZ64" si="38">AND((Y41/$Z41)&gt;0.25,(Y41/$Z41)&lt;0.35)</f>
        <v>1</v>
      </c>
      <c r="BA41" s="1" t="b">
        <f t="shared" ref="BA41:BA64" si="39">AND((Z41/$Z41)&gt;0.999,(Z41/$Z41)&lt;1.01)</f>
        <v>1</v>
      </c>
      <c r="BC41">
        <f t="shared" ref="BC41:BC64" si="40">AS41</f>
        <v>1994</v>
      </c>
      <c r="BD41" s="2">
        <f t="shared" ref="BD41:BD64" si="41">S41</f>
        <v>19884.883935600003</v>
      </c>
      <c r="BE41" s="2">
        <f t="shared" ref="BE41:BE49" si="42">T41</f>
        <v>31422.614959920003</v>
      </c>
      <c r="BF41" s="2"/>
      <c r="BG41" s="2"/>
      <c r="BH41" s="2">
        <f t="shared" si="11"/>
        <v>25070.839397100004</v>
      </c>
      <c r="BI41" s="2"/>
      <c r="BJ41" s="2">
        <f>Y41</f>
        <v>29720.583010800005</v>
      </c>
      <c r="BK41" s="2">
        <f t="shared" ref="BK41:BK64" si="43">Z41</f>
        <v>106098.92130342002</v>
      </c>
      <c r="BL41" s="2">
        <f t="shared" ref="BL41:BL64" si="44">SUM(BD41:BJ41)-Z41</f>
        <v>0</v>
      </c>
      <c r="BM41" s="2"/>
    </row>
    <row r="42" spans="1:72" x14ac:dyDescent="0.25">
      <c r="A42">
        <f t="shared" si="8"/>
        <v>1995</v>
      </c>
      <c r="B42" s="2">
        <f t="shared" si="12"/>
        <v>27331.772969482205</v>
      </c>
      <c r="C42" s="2">
        <f t="shared" si="13"/>
        <v>42042.516137924162</v>
      </c>
      <c r="D42" s="2"/>
      <c r="E42" s="2"/>
      <c r="F42" s="2">
        <f t="shared" si="14"/>
        <v>27489.17256534427</v>
      </c>
      <c r="G42" s="2"/>
      <c r="H42" s="2">
        <f t="shared" si="15"/>
        <v>35123.785002163444</v>
      </c>
      <c r="I42" s="2">
        <f t="shared" ref="I42:I64" si="45">SUM(B42:H42)</f>
        <v>131987.24667491409</v>
      </c>
      <c r="J42" s="2">
        <f t="shared" si="16"/>
        <v>21146.046235494083</v>
      </c>
      <c r="K42" s="6">
        <f t="shared" si="17"/>
        <v>0.1907778529252884</v>
      </c>
      <c r="L42" s="7">
        <f t="shared" si="18"/>
        <v>1.1907778529252884</v>
      </c>
      <c r="N42">
        <f t="shared" si="19"/>
        <v>1995</v>
      </c>
      <c r="O42" s="2">
        <f t="shared" si="20"/>
        <v>4865.5783935360005</v>
      </c>
      <c r="P42" s="2"/>
      <c r="Q42" s="2"/>
      <c r="R42">
        <f t="shared" si="21"/>
        <v>1995</v>
      </c>
      <c r="S42" s="2">
        <f t="shared" si="22"/>
        <v>26115.378371098206</v>
      </c>
      <c r="T42" s="2">
        <f t="shared" si="22"/>
        <v>40826.12153954016</v>
      </c>
      <c r="U42" s="2"/>
      <c r="V42" s="2"/>
      <c r="W42" s="2">
        <f t="shared" si="9"/>
        <v>26272.777966960271</v>
      </c>
      <c r="X42" s="2"/>
      <c r="Y42" s="2">
        <f t="shared" si="23"/>
        <v>33907.390403779442</v>
      </c>
      <c r="Z42" s="2">
        <f t="shared" si="24"/>
        <v>127121.66828137808</v>
      </c>
      <c r="AA42" s="2">
        <f t="shared" si="25"/>
        <v>21022.746977958057</v>
      </c>
      <c r="AB42" s="6">
        <f t="shared" si="26"/>
        <v>0.19814289080128852</v>
      </c>
      <c r="AC42" s="7">
        <f t="shared" si="27"/>
        <v>1.1981428908012886</v>
      </c>
      <c r="AD42" s="2">
        <f t="shared" si="28"/>
        <v>0</v>
      </c>
      <c r="AE42" s="2"/>
      <c r="AG42">
        <f t="shared" si="29"/>
        <v>1995</v>
      </c>
      <c r="AH42" s="6">
        <f t="shared" si="6"/>
        <v>0.20543608909610117</v>
      </c>
      <c r="AI42" s="6">
        <f t="shared" si="7"/>
        <v>0.32115784894494448</v>
      </c>
      <c r="AJ42" s="7"/>
      <c r="AK42" s="7"/>
      <c r="AL42" s="6">
        <f t="shared" si="30"/>
        <v>0.20667426979330275</v>
      </c>
      <c r="AM42" s="7"/>
      <c r="AN42" s="6">
        <f t="shared" si="31"/>
        <v>0.26673179216565157</v>
      </c>
      <c r="AO42" s="6">
        <f t="shared" si="32"/>
        <v>0.99999999999999989</v>
      </c>
      <c r="AP42" s="7">
        <f t="shared" si="33"/>
        <v>0.73326820783434832</v>
      </c>
      <c r="AQ42" s="7">
        <f t="shared" si="34"/>
        <v>0</v>
      </c>
      <c r="AR42" s="24"/>
      <c r="AS42">
        <f t="shared" si="35"/>
        <v>1995</v>
      </c>
      <c r="AT42" s="1" t="b">
        <f t="shared" si="36"/>
        <v>1</v>
      </c>
      <c r="AU42" s="1" t="b">
        <f t="shared" si="37"/>
        <v>1</v>
      </c>
      <c r="AX42" s="1" t="b">
        <f t="shared" si="10"/>
        <v>1</v>
      </c>
      <c r="AZ42" s="1" t="b">
        <f t="shared" si="38"/>
        <v>1</v>
      </c>
      <c r="BA42" s="1" t="b">
        <f t="shared" si="39"/>
        <v>1</v>
      </c>
      <c r="BC42">
        <f t="shared" si="40"/>
        <v>1995</v>
      </c>
      <c r="BD42" s="2">
        <f t="shared" si="41"/>
        <v>26115.378371098206</v>
      </c>
      <c r="BE42" s="2">
        <f t="shared" si="42"/>
        <v>40826.12153954016</v>
      </c>
      <c r="BF42" s="2"/>
      <c r="BG42" s="2"/>
      <c r="BH42" s="2">
        <f t="shared" si="11"/>
        <v>26272.777966960271</v>
      </c>
      <c r="BI42" s="2"/>
      <c r="BJ42" s="2">
        <f>Y42</f>
        <v>33907.390403779442</v>
      </c>
      <c r="BK42" s="2">
        <f t="shared" si="43"/>
        <v>127121.66828137808</v>
      </c>
      <c r="BL42" s="2">
        <f t="shared" si="44"/>
        <v>0</v>
      </c>
      <c r="BM42" s="2"/>
    </row>
    <row r="43" spans="1:72" x14ac:dyDescent="0.25">
      <c r="A43">
        <f t="shared" si="8"/>
        <v>1996</v>
      </c>
      <c r="B43" s="2">
        <f t="shared" si="12"/>
        <v>32090.576942405478</v>
      </c>
      <c r="C43" s="2">
        <f t="shared" si="13"/>
        <v>48030.707207622807</v>
      </c>
      <c r="D43" s="2"/>
      <c r="E43" s="2"/>
      <c r="F43" s="2">
        <f t="shared" si="14"/>
        <v>28957.593147403943</v>
      </c>
      <c r="G43" s="2"/>
      <c r="H43" s="2">
        <f t="shared" si="15"/>
        <v>35121.274980234746</v>
      </c>
      <c r="I43" s="2">
        <f t="shared" si="45"/>
        <v>144200.15227766696</v>
      </c>
      <c r="J43" s="2">
        <f t="shared" si="16"/>
        <v>12212.905602752871</v>
      </c>
      <c r="K43" s="6">
        <f t="shared" si="17"/>
        <v>9.2530952121710516E-2</v>
      </c>
      <c r="L43" s="7">
        <f t="shared" si="18"/>
        <v>1.0925309521217106</v>
      </c>
      <c r="N43">
        <f t="shared" si="19"/>
        <v>1996</v>
      </c>
      <c r="O43" s="2">
        <f t="shared" si="20"/>
        <v>4987.2178533744</v>
      </c>
      <c r="P43" s="2"/>
      <c r="Q43" s="2"/>
      <c r="R43">
        <f t="shared" si="21"/>
        <v>1996</v>
      </c>
      <c r="S43" s="2">
        <f t="shared" si="22"/>
        <v>30843.772479061878</v>
      </c>
      <c r="T43" s="2">
        <f t="shared" si="22"/>
        <v>46783.902744279207</v>
      </c>
      <c r="U43" s="2"/>
      <c r="V43" s="2"/>
      <c r="W43" s="2">
        <f t="shared" si="9"/>
        <v>27710.788684060342</v>
      </c>
      <c r="X43" s="2"/>
      <c r="Y43" s="2">
        <f t="shared" si="23"/>
        <v>33874.470516891146</v>
      </c>
      <c r="Z43" s="2">
        <f t="shared" si="24"/>
        <v>139212.93442429259</v>
      </c>
      <c r="AA43" s="2">
        <f t="shared" si="25"/>
        <v>12091.266142914508</v>
      </c>
      <c r="AB43" s="6">
        <f t="shared" si="26"/>
        <v>9.5115697476145733E-2</v>
      </c>
      <c r="AC43" s="7">
        <f t="shared" si="27"/>
        <v>1.0951156974761458</v>
      </c>
      <c r="AD43" s="2">
        <f t="shared" si="28"/>
        <v>0</v>
      </c>
      <c r="AE43" s="2"/>
      <c r="AG43">
        <f t="shared" si="29"/>
        <v>1996</v>
      </c>
      <c r="AH43" s="6">
        <f t="shared" si="6"/>
        <v>0.22155823815232828</v>
      </c>
      <c r="AI43" s="6">
        <f t="shared" si="7"/>
        <v>0.33606002874482499</v>
      </c>
      <c r="AJ43" s="7"/>
      <c r="AK43" s="7"/>
      <c r="AL43" s="6">
        <f t="shared" si="30"/>
        <v>0.19905326181548275</v>
      </c>
      <c r="AM43" s="7"/>
      <c r="AN43" s="6">
        <f t="shared" si="31"/>
        <v>0.24332847128736385</v>
      </c>
      <c r="AO43" s="6">
        <f t="shared" si="32"/>
        <v>0.99999999999999978</v>
      </c>
      <c r="AP43" s="7">
        <f t="shared" si="33"/>
        <v>0.75667152871263599</v>
      </c>
      <c r="AQ43" s="7">
        <f t="shared" si="34"/>
        <v>0</v>
      </c>
      <c r="AR43" s="24"/>
      <c r="AS43">
        <f t="shared" si="35"/>
        <v>1996</v>
      </c>
      <c r="AT43" s="1" t="b">
        <f t="shared" si="36"/>
        <v>1</v>
      </c>
      <c r="AU43" s="1" t="b">
        <f t="shared" si="37"/>
        <v>1</v>
      </c>
      <c r="AX43" s="1" t="b">
        <f t="shared" si="10"/>
        <v>1</v>
      </c>
      <c r="AZ43" s="1" t="b">
        <f t="shared" si="38"/>
        <v>0</v>
      </c>
      <c r="BA43" s="1" t="b">
        <f t="shared" si="39"/>
        <v>1</v>
      </c>
      <c r="BC43">
        <f t="shared" si="40"/>
        <v>1996</v>
      </c>
      <c r="BD43" s="2">
        <f t="shared" si="41"/>
        <v>30843.772479061878</v>
      </c>
      <c r="BE43" s="2">
        <f t="shared" si="42"/>
        <v>46783.902744279207</v>
      </c>
      <c r="BF43" s="2"/>
      <c r="BG43" s="2"/>
      <c r="BH43" s="2">
        <f t="shared" si="11"/>
        <v>27710.788684060342</v>
      </c>
      <c r="BI43" s="2"/>
      <c r="BJ43" s="2">
        <f>Y43</f>
        <v>33874.470516891146</v>
      </c>
      <c r="BK43" s="2">
        <f t="shared" si="43"/>
        <v>139212.93442429259</v>
      </c>
      <c r="BL43" s="2">
        <f t="shared" si="44"/>
        <v>0</v>
      </c>
      <c r="BM43" s="2"/>
    </row>
    <row r="44" spans="1:72" x14ac:dyDescent="0.25">
      <c r="A44">
        <f t="shared" si="8"/>
        <v>1997</v>
      </c>
      <c r="B44" s="2">
        <f t="shared" si="12"/>
        <v>41080.820564862515</v>
      </c>
      <c r="C44" s="2">
        <f t="shared" si="13"/>
        <v>59269.122869644998</v>
      </c>
      <c r="D44" s="2"/>
      <c r="E44" s="2"/>
      <c r="F44" s="2">
        <f t="shared" si="14"/>
        <v>27710.788684060342</v>
      </c>
      <c r="G44" s="2"/>
      <c r="H44" s="2">
        <f t="shared" si="15"/>
        <v>37072.220533685671</v>
      </c>
      <c r="I44" s="2">
        <f t="shared" si="45"/>
        <v>165132.95265225353</v>
      </c>
      <c r="J44" s="2">
        <f t="shared" si="16"/>
        <v>20932.800374586572</v>
      </c>
      <c r="K44" s="6">
        <f t="shared" si="17"/>
        <v>0.14516489784476147</v>
      </c>
      <c r="L44" s="7">
        <f t="shared" si="18"/>
        <v>1.1451648978447615</v>
      </c>
      <c r="N44">
        <f t="shared" si="19"/>
        <v>1997</v>
      </c>
      <c r="O44" s="2">
        <f t="shared" si="20"/>
        <v>5156.7832603891293</v>
      </c>
      <c r="P44" s="2"/>
      <c r="Q44" s="2"/>
      <c r="R44">
        <f t="shared" si="21"/>
        <v>1997</v>
      </c>
      <c r="S44" s="2">
        <f t="shared" si="22"/>
        <v>39791.624749765237</v>
      </c>
      <c r="T44" s="2">
        <f t="shared" si="22"/>
        <v>57979.927054547719</v>
      </c>
      <c r="U44" s="2"/>
      <c r="V44" s="2"/>
      <c r="W44" s="2">
        <f t="shared" si="9"/>
        <v>26421.59286896306</v>
      </c>
      <c r="X44" s="2"/>
      <c r="Y44" s="2">
        <f t="shared" si="23"/>
        <v>35783.024718588393</v>
      </c>
      <c r="Z44" s="2">
        <f t="shared" si="24"/>
        <v>159976.16939186442</v>
      </c>
      <c r="AA44" s="2">
        <f t="shared" si="25"/>
        <v>20763.234967571829</v>
      </c>
      <c r="AB44" s="6">
        <f t="shared" si="26"/>
        <v>0.14914731201836268</v>
      </c>
      <c r="AC44" s="7">
        <f t="shared" si="27"/>
        <v>1.1491473120183626</v>
      </c>
      <c r="AD44" s="2">
        <f t="shared" si="28"/>
        <v>0</v>
      </c>
      <c r="AE44" s="2"/>
      <c r="AG44">
        <f t="shared" si="29"/>
        <v>1997</v>
      </c>
      <c r="AH44" s="6">
        <f t="shared" si="6"/>
        <v>0.24873470155604838</v>
      </c>
      <c r="AI44" s="38">
        <f t="shared" si="7"/>
        <v>0.36242852466685133</v>
      </c>
      <c r="AJ44" s="7"/>
      <c r="AK44" s="7"/>
      <c r="AL44" s="38">
        <f t="shared" si="30"/>
        <v>0.16515955450991521</v>
      </c>
      <c r="AM44" s="7"/>
      <c r="AN44" s="6">
        <f t="shared" si="31"/>
        <v>0.22367721926718503</v>
      </c>
      <c r="AO44" s="6">
        <f t="shared" si="32"/>
        <v>0.99999999999999978</v>
      </c>
      <c r="AP44" s="7">
        <f t="shared" si="33"/>
        <v>0.7763227807328148</v>
      </c>
      <c r="AQ44" s="7">
        <f t="shared" si="34"/>
        <v>0</v>
      </c>
      <c r="AR44" s="24"/>
      <c r="AS44">
        <f t="shared" si="35"/>
        <v>1997</v>
      </c>
      <c r="AT44" s="1" t="b">
        <f t="shared" si="36"/>
        <v>1</v>
      </c>
      <c r="AU44" s="39" t="b">
        <f t="shared" si="37"/>
        <v>0</v>
      </c>
      <c r="AX44" s="39" t="b">
        <f t="shared" si="10"/>
        <v>1</v>
      </c>
      <c r="AZ44" s="1" t="b">
        <f t="shared" si="38"/>
        <v>0</v>
      </c>
      <c r="BA44" s="1" t="b">
        <f t="shared" si="39"/>
        <v>1</v>
      </c>
      <c r="BC44">
        <f t="shared" si="40"/>
        <v>1997</v>
      </c>
      <c r="BD44" s="40">
        <f>$BK44*BD$39</f>
        <v>31995.233878372885</v>
      </c>
      <c r="BE44" s="40">
        <f>$BK44*BE$39</f>
        <v>47992.850817559323</v>
      </c>
      <c r="BF44" s="2"/>
      <c r="BG44" s="2"/>
      <c r="BH44" s="40">
        <f>$BK44*BH$39</f>
        <v>31995.233878372885</v>
      </c>
      <c r="BI44" s="2"/>
      <c r="BJ44" s="40">
        <f>$BK44*BJ$39</f>
        <v>47992.850817559323</v>
      </c>
      <c r="BK44" s="2">
        <f t="shared" si="43"/>
        <v>159976.16939186442</v>
      </c>
      <c r="BL44" s="2">
        <f t="shared" si="44"/>
        <v>0</v>
      </c>
      <c r="BM44" s="2"/>
      <c r="BN44" s="2"/>
      <c r="BO44" s="2"/>
      <c r="BP44" s="2"/>
      <c r="BQ44" s="2"/>
      <c r="BR44" s="2"/>
      <c r="BS44" s="2"/>
      <c r="BT44" s="2"/>
    </row>
    <row r="45" spans="1:72" x14ac:dyDescent="0.25">
      <c r="A45">
        <f t="shared" si="8"/>
        <v>1998</v>
      </c>
      <c r="B45" s="2">
        <f t="shared" si="12"/>
        <v>41165.067907914556</v>
      </c>
      <c r="C45" s="2">
        <f t="shared" si="13"/>
        <v>52001.693646350061</v>
      </c>
      <c r="D45" s="2"/>
      <c r="E45" s="2"/>
      <c r="F45" s="2">
        <f t="shared" si="14"/>
        <v>31995.233878372885</v>
      </c>
      <c r="G45" s="2"/>
      <c r="H45" s="2">
        <f t="shared" si="15"/>
        <v>52110.637417705919</v>
      </c>
      <c r="I45" s="2">
        <f t="shared" si="45"/>
        <v>177272.63285034342</v>
      </c>
      <c r="J45" s="2">
        <f t="shared" si="16"/>
        <v>12139.680198089889</v>
      </c>
      <c r="K45" s="6">
        <f t="shared" si="17"/>
        <v>7.3514583268273079E-2</v>
      </c>
      <c r="L45" s="7">
        <f t="shared" si="18"/>
        <v>1.0735145832682731</v>
      </c>
      <c r="N45">
        <f t="shared" si="19"/>
        <v>1998</v>
      </c>
      <c r="O45" s="2">
        <f t="shared" si="20"/>
        <v>5244.4485758157443</v>
      </c>
      <c r="P45" s="2"/>
      <c r="Q45" s="2"/>
      <c r="R45">
        <f t="shared" si="21"/>
        <v>1998</v>
      </c>
      <c r="S45" s="2">
        <f t="shared" si="22"/>
        <v>39853.955763960621</v>
      </c>
      <c r="T45" s="2">
        <f t="shared" si="22"/>
        <v>50690.581502396126</v>
      </c>
      <c r="U45" s="2"/>
      <c r="V45" s="2"/>
      <c r="W45" s="2">
        <f t="shared" si="9"/>
        <v>30684.12173441895</v>
      </c>
      <c r="X45" s="2"/>
      <c r="Y45" s="2">
        <f t="shared" si="23"/>
        <v>50799.525273751984</v>
      </c>
      <c r="Z45" s="2">
        <f t="shared" si="24"/>
        <v>172028.18427452768</v>
      </c>
      <c r="AA45" s="2">
        <f t="shared" si="25"/>
        <v>12052.014882663265</v>
      </c>
      <c r="AB45" s="6">
        <f t="shared" si="26"/>
        <v>7.5336313705209712E-2</v>
      </c>
      <c r="AC45" s="7">
        <f t="shared" si="27"/>
        <v>1.0753363137052097</v>
      </c>
      <c r="AD45" s="2">
        <f t="shared" si="28"/>
        <v>0</v>
      </c>
      <c r="AE45" s="2"/>
      <c r="AG45">
        <f t="shared" si="29"/>
        <v>1998</v>
      </c>
      <c r="AH45" s="6">
        <f t="shared" si="6"/>
        <v>0.23167108303811715</v>
      </c>
      <c r="AI45" s="6">
        <f t="shared" si="7"/>
        <v>0.29466439883770784</v>
      </c>
      <c r="AJ45" s="7"/>
      <c r="AK45" s="7"/>
      <c r="AL45" s="6">
        <f t="shared" si="30"/>
        <v>0.17836682903920162</v>
      </c>
      <c r="AM45" s="7"/>
      <c r="AN45" s="6">
        <f t="shared" si="31"/>
        <v>0.29529768908497339</v>
      </c>
      <c r="AO45" s="6">
        <f t="shared" si="32"/>
        <v>1</v>
      </c>
      <c r="AP45" s="7">
        <f t="shared" si="33"/>
        <v>0.70470231091502666</v>
      </c>
      <c r="AQ45" s="7">
        <f t="shared" si="34"/>
        <v>0</v>
      </c>
      <c r="AR45" s="24"/>
      <c r="AS45">
        <f t="shared" si="35"/>
        <v>1998</v>
      </c>
      <c r="AT45" s="1" t="b">
        <f t="shared" si="36"/>
        <v>1</v>
      </c>
      <c r="AU45" s="1" t="b">
        <f t="shared" si="37"/>
        <v>1</v>
      </c>
      <c r="AX45" s="1" t="b">
        <f t="shared" si="10"/>
        <v>1</v>
      </c>
      <c r="AZ45" s="1" t="b">
        <f t="shared" si="38"/>
        <v>1</v>
      </c>
      <c r="BA45" s="1" t="b">
        <f t="shared" si="39"/>
        <v>1</v>
      </c>
      <c r="BC45">
        <f t="shared" si="40"/>
        <v>1998</v>
      </c>
      <c r="BD45" s="2">
        <f t="shared" si="41"/>
        <v>39853.955763960621</v>
      </c>
      <c r="BE45" s="2">
        <f t="shared" si="42"/>
        <v>50690.581502396126</v>
      </c>
      <c r="BF45" s="2"/>
      <c r="BG45" s="2"/>
      <c r="BH45" s="2">
        <f t="shared" si="11"/>
        <v>30684.12173441895</v>
      </c>
      <c r="BI45" s="2"/>
      <c r="BJ45" s="2">
        <f>Y45</f>
        <v>50799.525273751984</v>
      </c>
      <c r="BK45" s="2">
        <f t="shared" si="43"/>
        <v>172028.18427452768</v>
      </c>
      <c r="BL45" s="2">
        <f t="shared" si="44"/>
        <v>0</v>
      </c>
      <c r="BM45" s="2"/>
    </row>
    <row r="46" spans="1:72" x14ac:dyDescent="0.25">
      <c r="A46">
        <f t="shared" si="8"/>
        <v>1999</v>
      </c>
      <c r="B46" s="2">
        <f t="shared" si="12"/>
        <v>48251.184243427131</v>
      </c>
      <c r="C46" s="2">
        <f t="shared" si="13"/>
        <v>50690.581502396126</v>
      </c>
      <c r="D46" s="2"/>
      <c r="E46" s="2"/>
      <c r="F46" s="2">
        <f t="shared" si="14"/>
        <v>30684.12173441895</v>
      </c>
      <c r="G46" s="2"/>
      <c r="H46" s="2">
        <f t="shared" si="15"/>
        <v>50413.448881671466</v>
      </c>
      <c r="I46" s="2">
        <f t="shared" si="45"/>
        <v>180039.33636191368</v>
      </c>
      <c r="J46" s="2">
        <f t="shared" si="16"/>
        <v>2766.7035115702602</v>
      </c>
      <c r="K46" s="6">
        <f t="shared" si="17"/>
        <v>1.5607053762810408E-2</v>
      </c>
      <c r="L46" s="7">
        <f t="shared" si="18"/>
        <v>1.0156070537628104</v>
      </c>
      <c r="N46">
        <f t="shared" si="19"/>
        <v>1999</v>
      </c>
      <c r="O46" s="2">
        <f t="shared" si="20"/>
        <v>5328.3597530287961</v>
      </c>
      <c r="P46" s="2"/>
      <c r="Q46" s="2"/>
      <c r="R46">
        <f t="shared" si="21"/>
        <v>1999</v>
      </c>
      <c r="S46" s="2">
        <f t="shared" si="22"/>
        <v>46919.094305169929</v>
      </c>
      <c r="T46" s="2">
        <f t="shared" si="22"/>
        <v>49358.491564138923</v>
      </c>
      <c r="U46" s="2"/>
      <c r="V46" s="2"/>
      <c r="W46" s="2">
        <f t="shared" si="9"/>
        <v>29352.031796161751</v>
      </c>
      <c r="X46" s="2"/>
      <c r="Y46" s="2">
        <f t="shared" si="23"/>
        <v>49081.358943414263</v>
      </c>
      <c r="Z46" s="2">
        <f t="shared" si="24"/>
        <v>174710.97660888487</v>
      </c>
      <c r="AA46" s="2">
        <f t="shared" si="25"/>
        <v>2682.7923343571892</v>
      </c>
      <c r="AB46" s="6">
        <f t="shared" si="26"/>
        <v>1.5595074409876406E-2</v>
      </c>
      <c r="AC46" s="7">
        <f t="shared" si="27"/>
        <v>1.0155950744098765</v>
      </c>
      <c r="AD46" s="2">
        <f t="shared" si="28"/>
        <v>0</v>
      </c>
      <c r="AE46" s="2"/>
      <c r="AG46">
        <f t="shared" si="29"/>
        <v>1999</v>
      </c>
      <c r="AH46" s="6">
        <f t="shared" si="6"/>
        <v>0.26855264171640991</v>
      </c>
      <c r="AI46" s="6">
        <f t="shared" si="7"/>
        <v>0.28251511451758898</v>
      </c>
      <c r="AJ46" s="7"/>
      <c r="AK46" s="7"/>
      <c r="AL46" s="6">
        <f t="shared" si="30"/>
        <v>0.16800336398937549</v>
      </c>
      <c r="AM46" s="7"/>
      <c r="AN46" s="6">
        <f t="shared" si="31"/>
        <v>0.28092887977662556</v>
      </c>
      <c r="AO46" s="6">
        <f t="shared" si="32"/>
        <v>1</v>
      </c>
      <c r="AP46" s="7">
        <f t="shared" si="33"/>
        <v>0.71907112022337438</v>
      </c>
      <c r="AQ46" s="7">
        <f t="shared" si="34"/>
        <v>0</v>
      </c>
      <c r="AR46" s="24"/>
      <c r="AS46">
        <f t="shared" si="35"/>
        <v>1999</v>
      </c>
      <c r="AT46" s="1" t="b">
        <f t="shared" si="36"/>
        <v>0</v>
      </c>
      <c r="AU46" s="1" t="b">
        <f t="shared" si="37"/>
        <v>1</v>
      </c>
      <c r="AX46" s="1" t="b">
        <f t="shared" si="10"/>
        <v>1</v>
      </c>
      <c r="AZ46" s="1" t="b">
        <f t="shared" si="38"/>
        <v>1</v>
      </c>
      <c r="BA46" s="1" t="b">
        <f t="shared" si="39"/>
        <v>1</v>
      </c>
      <c r="BC46">
        <f t="shared" si="40"/>
        <v>1999</v>
      </c>
      <c r="BD46" s="2">
        <f t="shared" si="41"/>
        <v>46919.094305169929</v>
      </c>
      <c r="BE46" s="2">
        <f t="shared" si="42"/>
        <v>49358.491564138923</v>
      </c>
      <c r="BF46" s="2"/>
      <c r="BG46" s="2"/>
      <c r="BH46" s="2">
        <f t="shared" si="11"/>
        <v>29352.031796161751</v>
      </c>
      <c r="BI46" s="2"/>
      <c r="BJ46" s="2">
        <f>Y46</f>
        <v>49081.358943414263</v>
      </c>
      <c r="BK46" s="2">
        <f t="shared" si="43"/>
        <v>174710.97660888487</v>
      </c>
      <c r="BL46" s="2">
        <f t="shared" si="44"/>
        <v>0</v>
      </c>
      <c r="BM46" s="2"/>
    </row>
    <row r="47" spans="1:72" x14ac:dyDescent="0.25">
      <c r="A47">
        <f t="shared" si="8"/>
        <v>2000</v>
      </c>
      <c r="B47" s="2">
        <f t="shared" si="12"/>
        <v>42668.224361121531</v>
      </c>
      <c r="C47" s="2">
        <f t="shared" si="13"/>
        <v>49358.491564138923</v>
      </c>
      <c r="D47" s="2"/>
      <c r="E47" s="2"/>
      <c r="F47" s="2">
        <f t="shared" si="14"/>
        <v>29352.031796161751</v>
      </c>
      <c r="G47" s="2"/>
      <c r="H47" s="2">
        <f t="shared" si="15"/>
        <v>54671.725727069155</v>
      </c>
      <c r="I47" s="2">
        <f t="shared" si="45"/>
        <v>176050.47344849136</v>
      </c>
      <c r="J47" s="2">
        <f t="shared" si="16"/>
        <v>-3988.8629134223156</v>
      </c>
      <c r="K47" s="6">
        <f t="shared" si="17"/>
        <v>-2.2155507757504363E-2</v>
      </c>
      <c r="L47" s="7">
        <f t="shared" si="18"/>
        <v>0.97784449224249559</v>
      </c>
      <c r="N47">
        <f t="shared" si="19"/>
        <v>2000</v>
      </c>
      <c r="O47" s="2">
        <f t="shared" si="20"/>
        <v>5472.2254663605736</v>
      </c>
      <c r="P47" s="2"/>
      <c r="Q47" s="2"/>
      <c r="R47">
        <f t="shared" si="21"/>
        <v>2000</v>
      </c>
      <c r="S47" s="2">
        <f t="shared" si="22"/>
        <v>41300.167994531388</v>
      </c>
      <c r="T47" s="2">
        <f t="shared" si="22"/>
        <v>47990.435197548781</v>
      </c>
      <c r="U47" s="2"/>
      <c r="V47" s="2"/>
      <c r="W47" s="2">
        <f t="shared" si="9"/>
        <v>27983.975429571608</v>
      </c>
      <c r="X47" s="2"/>
      <c r="Y47" s="2">
        <f t="shared" si="23"/>
        <v>53303.669360479013</v>
      </c>
      <c r="Z47" s="2">
        <f t="shared" si="24"/>
        <v>170578.24798213079</v>
      </c>
      <c r="AA47" s="2">
        <f t="shared" si="25"/>
        <v>-4132.7286267540767</v>
      </c>
      <c r="AB47" s="6">
        <f t="shared" si="26"/>
        <v>-2.3654659294852273E-2</v>
      </c>
      <c r="AC47" s="7">
        <f t="shared" si="27"/>
        <v>0.97634534070514778</v>
      </c>
      <c r="AD47" s="2">
        <f t="shared" si="28"/>
        <v>0</v>
      </c>
      <c r="AE47" s="2"/>
      <c r="AG47">
        <f t="shared" si="29"/>
        <v>2000</v>
      </c>
      <c r="AH47" s="6">
        <f t="shared" si="6"/>
        <v>0.24211860822288347</v>
      </c>
      <c r="AI47" s="6">
        <f t="shared" si="7"/>
        <v>0.28133971221568704</v>
      </c>
      <c r="AJ47" s="7"/>
      <c r="AK47" s="7"/>
      <c r="AL47" s="6">
        <f t="shared" si="30"/>
        <v>0.16405359863060098</v>
      </c>
      <c r="AM47" s="7"/>
      <c r="AN47" s="6">
        <f t="shared" si="31"/>
        <v>0.31248808093082847</v>
      </c>
      <c r="AO47" s="6">
        <f t="shared" si="32"/>
        <v>1</v>
      </c>
      <c r="AP47" s="7">
        <f t="shared" si="33"/>
        <v>0.68751191906917153</v>
      </c>
      <c r="AQ47" s="7">
        <f t="shared" si="34"/>
        <v>0</v>
      </c>
      <c r="AR47" s="24"/>
      <c r="AS47">
        <f t="shared" si="35"/>
        <v>2000</v>
      </c>
      <c r="AT47" s="1" t="b">
        <f t="shared" si="36"/>
        <v>1</v>
      </c>
      <c r="AU47" s="1" t="b">
        <f t="shared" si="37"/>
        <v>1</v>
      </c>
      <c r="AX47" s="1" t="b">
        <f t="shared" si="10"/>
        <v>1</v>
      </c>
      <c r="AZ47" s="1" t="b">
        <f t="shared" si="38"/>
        <v>1</v>
      </c>
      <c r="BA47" s="1" t="b">
        <f t="shared" si="39"/>
        <v>1</v>
      </c>
      <c r="BC47">
        <f t="shared" si="40"/>
        <v>2000</v>
      </c>
      <c r="BD47" s="2">
        <f t="shared" si="41"/>
        <v>41300.167994531388</v>
      </c>
      <c r="BE47" s="2">
        <f t="shared" si="42"/>
        <v>47990.435197548781</v>
      </c>
      <c r="BF47" s="2"/>
      <c r="BG47" s="2"/>
      <c r="BH47" s="2">
        <f t="shared" si="11"/>
        <v>27983.975429571608</v>
      </c>
      <c r="BI47" s="2"/>
      <c r="BJ47" s="2">
        <f>Y47</f>
        <v>53303.669360479013</v>
      </c>
      <c r="BK47" s="2">
        <f t="shared" si="43"/>
        <v>170578.24798213079</v>
      </c>
      <c r="BL47" s="2">
        <f t="shared" si="44"/>
        <v>0</v>
      </c>
      <c r="BM47" s="2"/>
    </row>
    <row r="48" spans="1:72" x14ac:dyDescent="0.25">
      <c r="A48">
        <f t="shared" si="8"/>
        <v>2001</v>
      </c>
      <c r="B48" s="2">
        <f t="shared" si="12"/>
        <v>36335.887801588717</v>
      </c>
      <c r="C48" s="2">
        <f t="shared" si="13"/>
        <v>47990.435197548781</v>
      </c>
      <c r="D48" s="2"/>
      <c r="E48" s="2"/>
      <c r="F48" s="2">
        <f t="shared" si="14"/>
        <v>27983.975429571608</v>
      </c>
      <c r="G48" s="2"/>
      <c r="H48" s="2">
        <f t="shared" si="15"/>
        <v>57797.168687567399</v>
      </c>
      <c r="I48" s="2">
        <f t="shared" si="45"/>
        <v>170107.4671162765</v>
      </c>
      <c r="J48" s="2">
        <f t="shared" si="16"/>
        <v>-5943.0063322148635</v>
      </c>
      <c r="K48" s="6">
        <f t="shared" si="17"/>
        <v>-3.3757400453419746E-2</v>
      </c>
      <c r="L48" s="7">
        <f t="shared" si="18"/>
        <v>0.96624259954658021</v>
      </c>
      <c r="N48">
        <f t="shared" si="19"/>
        <v>2001</v>
      </c>
      <c r="O48" s="2">
        <f t="shared" si="20"/>
        <v>5658.2811322168336</v>
      </c>
      <c r="P48" s="2"/>
      <c r="Q48" s="2"/>
      <c r="R48">
        <f t="shared" si="21"/>
        <v>2001</v>
      </c>
      <c r="S48" s="2">
        <f t="shared" si="22"/>
        <v>34921.31751853451</v>
      </c>
      <c r="T48" s="2">
        <f t="shared" si="22"/>
        <v>46575.864914494574</v>
      </c>
      <c r="U48" s="2"/>
      <c r="V48" s="2"/>
      <c r="W48" s="2">
        <f t="shared" si="9"/>
        <v>26569.405146517402</v>
      </c>
      <c r="X48" s="2"/>
      <c r="Y48" s="2">
        <f t="shared" si="23"/>
        <v>56382.598404513192</v>
      </c>
      <c r="Z48" s="2">
        <f t="shared" si="24"/>
        <v>164449.18598405967</v>
      </c>
      <c r="AA48" s="2">
        <f t="shared" si="25"/>
        <v>-6129.0619980711199</v>
      </c>
      <c r="AB48" s="6">
        <f t="shared" si="26"/>
        <v>-3.5931087759285579E-2</v>
      </c>
      <c r="AC48" s="7">
        <f t="shared" si="27"/>
        <v>0.96406891224071445</v>
      </c>
      <c r="AD48" s="2">
        <f t="shared" si="28"/>
        <v>0</v>
      </c>
      <c r="AE48" s="2"/>
      <c r="AG48">
        <f t="shared" si="29"/>
        <v>2001</v>
      </c>
      <c r="AH48" s="6">
        <f t="shared" si="6"/>
        <v>0.21235324036155151</v>
      </c>
      <c r="AI48" s="6">
        <f t="shared" si="7"/>
        <v>0.28322344459041132</v>
      </c>
      <c r="AJ48" s="7"/>
      <c r="AK48" s="7"/>
      <c r="AL48" s="6">
        <f t="shared" si="30"/>
        <v>0.16156604842721944</v>
      </c>
      <c r="AM48" s="6"/>
      <c r="AN48" s="38">
        <f t="shared" si="31"/>
        <v>0.34285726662081772</v>
      </c>
      <c r="AO48" s="6">
        <f t="shared" si="32"/>
        <v>1</v>
      </c>
      <c r="AP48" s="7">
        <f t="shared" si="33"/>
        <v>0.65714273337918228</v>
      </c>
      <c r="AQ48" s="7">
        <f t="shared" si="34"/>
        <v>0</v>
      </c>
      <c r="AR48" s="24"/>
      <c r="AS48">
        <f t="shared" si="35"/>
        <v>2001</v>
      </c>
      <c r="AT48" s="1" t="b">
        <f t="shared" si="36"/>
        <v>1</v>
      </c>
      <c r="AU48" s="1" t="b">
        <f t="shared" si="37"/>
        <v>1</v>
      </c>
      <c r="AX48" s="1" t="b">
        <f t="shared" si="10"/>
        <v>1</v>
      </c>
      <c r="AZ48" s="39" t="b">
        <f t="shared" si="38"/>
        <v>1</v>
      </c>
      <c r="BA48" s="1" t="b">
        <f t="shared" si="39"/>
        <v>1</v>
      </c>
      <c r="BC48">
        <f t="shared" si="40"/>
        <v>2001</v>
      </c>
      <c r="BD48" s="40">
        <f>$BK48*BD$39</f>
        <v>32889.837196811939</v>
      </c>
      <c r="BE48" s="40">
        <f>$BK48*BE$39</f>
        <v>49334.755795217898</v>
      </c>
      <c r="BF48" s="2"/>
      <c r="BG48" s="2"/>
      <c r="BH48" s="40">
        <f>$BK48*BH$39</f>
        <v>32889.837196811939</v>
      </c>
      <c r="BI48" s="2"/>
      <c r="BJ48" s="40">
        <f>$BK48*BJ$39</f>
        <v>49334.755795217898</v>
      </c>
      <c r="BK48" s="2">
        <f t="shared" si="43"/>
        <v>164449.18598405967</v>
      </c>
      <c r="BL48" s="2">
        <f t="shared" si="44"/>
        <v>0</v>
      </c>
      <c r="BM48" s="2"/>
    </row>
    <row r="49" spans="1:65" x14ac:dyDescent="0.25">
      <c r="A49">
        <f t="shared" si="8"/>
        <v>2002</v>
      </c>
      <c r="B49" s="2">
        <f t="shared" si="12"/>
        <v>25604.738257718094</v>
      </c>
      <c r="C49" s="2">
        <f t="shared" si="13"/>
        <v>49334.755795217898</v>
      </c>
      <c r="D49" s="2"/>
      <c r="E49" s="2"/>
      <c r="F49" s="2"/>
      <c r="G49" s="2">
        <f>BH48*(1+(G13/100))</f>
        <v>27929.063052416794</v>
      </c>
      <c r="H49" s="2">
        <f t="shared" si="15"/>
        <v>53409.806623902899</v>
      </c>
      <c r="I49" s="2">
        <f t="shared" si="45"/>
        <v>156278.36372925568</v>
      </c>
      <c r="J49" s="2">
        <f t="shared" si="16"/>
        <v>-13829.103387020819</v>
      </c>
      <c r="K49" s="6">
        <f t="shared" si="17"/>
        <v>-8.1296274769454849E-2</v>
      </c>
      <c r="L49" s="7">
        <f t="shared" si="18"/>
        <v>0.91870372523054511</v>
      </c>
      <c r="N49">
        <f t="shared" si="19"/>
        <v>2002</v>
      </c>
      <c r="O49" s="2">
        <f t="shared" si="20"/>
        <v>5748.8136303323026</v>
      </c>
      <c r="P49" s="2"/>
      <c r="Q49" s="2"/>
      <c r="R49">
        <f t="shared" si="21"/>
        <v>2002</v>
      </c>
      <c r="S49" s="2">
        <f t="shared" si="22"/>
        <v>24167.53485013502</v>
      </c>
      <c r="T49" s="2">
        <f t="shared" si="22"/>
        <v>47897.552387634823</v>
      </c>
      <c r="U49" s="2"/>
      <c r="V49" s="2"/>
      <c r="W49" s="2"/>
      <c r="X49" s="2">
        <f>G49-($O49/4)</f>
        <v>26491.859644833719</v>
      </c>
      <c r="Y49" s="2">
        <f t="shared" si="23"/>
        <v>51972.603216319825</v>
      </c>
      <c r="Z49" s="2">
        <f t="shared" si="24"/>
        <v>150529.55009892338</v>
      </c>
      <c r="AA49" s="2">
        <f t="shared" si="25"/>
        <v>-13919.635885136289</v>
      </c>
      <c r="AB49" s="6">
        <f t="shared" si="26"/>
        <v>-8.4643993838227585E-2</v>
      </c>
      <c r="AC49" s="7">
        <f t="shared" si="27"/>
        <v>0.91535600616177237</v>
      </c>
      <c r="AD49" s="2">
        <f t="shared" si="28"/>
        <v>0</v>
      </c>
      <c r="AE49" s="2"/>
      <c r="AG49">
        <f t="shared" si="29"/>
        <v>2002</v>
      </c>
      <c r="AH49" s="6">
        <f t="shared" si="6"/>
        <v>0.16055010351291729</v>
      </c>
      <c r="AI49" s="6">
        <f t="shared" si="7"/>
        <v>0.3181936859318189</v>
      </c>
      <c r="AJ49" s="7"/>
      <c r="AK49" s="7"/>
      <c r="AL49" s="6"/>
      <c r="AM49" s="6">
        <f t="shared" si="30"/>
        <v>0.17599109030369176</v>
      </c>
      <c r="AN49" s="6">
        <f t="shared" si="31"/>
        <v>0.34526512025157208</v>
      </c>
      <c r="AO49" s="6">
        <f t="shared" si="32"/>
        <v>1</v>
      </c>
      <c r="AP49" s="7">
        <f t="shared" si="33"/>
        <v>0.65473487974842792</v>
      </c>
      <c r="AQ49" s="7">
        <f t="shared" si="34"/>
        <v>0</v>
      </c>
      <c r="AR49" s="24"/>
      <c r="AS49">
        <f t="shared" si="35"/>
        <v>2002</v>
      </c>
      <c r="AT49" s="1" t="b">
        <f t="shared" si="36"/>
        <v>1</v>
      </c>
      <c r="AU49" s="1" t="b">
        <f t="shared" si="37"/>
        <v>1</v>
      </c>
      <c r="AX49" s="1"/>
      <c r="AY49" s="1" t="b">
        <f t="shared" ref="AY49:AY56" si="46">AND((X49/$Z49)&gt;0.15,(X49/$Z49)&lt;0.25)</f>
        <v>1</v>
      </c>
      <c r="AZ49" s="1" t="b">
        <f t="shared" si="38"/>
        <v>1</v>
      </c>
      <c r="BA49" s="1" t="b">
        <f t="shared" si="39"/>
        <v>1</v>
      </c>
      <c r="BC49">
        <f t="shared" si="40"/>
        <v>2002</v>
      </c>
      <c r="BD49" s="2">
        <f t="shared" si="41"/>
        <v>24167.53485013502</v>
      </c>
      <c r="BE49" s="2">
        <f t="shared" si="42"/>
        <v>47897.552387634823</v>
      </c>
      <c r="BF49" s="2"/>
      <c r="BG49" s="2"/>
      <c r="BH49" s="2"/>
      <c r="BI49" s="2">
        <f>X49</f>
        <v>26491.859644833719</v>
      </c>
      <c r="BJ49" s="2">
        <f>Y49</f>
        <v>51972.603216319825</v>
      </c>
      <c r="BK49" s="2">
        <f t="shared" si="43"/>
        <v>150529.55009892338</v>
      </c>
      <c r="BL49" s="2">
        <f t="shared" si="44"/>
        <v>0</v>
      </c>
      <c r="BM49" s="2"/>
    </row>
    <row r="50" spans="1:65" x14ac:dyDescent="0.25">
      <c r="A50">
        <f t="shared" si="8"/>
        <v>2003</v>
      </c>
      <c r="B50" s="2">
        <f t="shared" si="12"/>
        <v>31055.282282423497</v>
      </c>
      <c r="C50" s="2">
        <f t="shared" si="13"/>
        <v>47897.552387634823</v>
      </c>
      <c r="D50" s="2"/>
      <c r="E50" s="2"/>
      <c r="F50" s="2"/>
      <c r="G50" s="2">
        <f t="shared" ref="G50:G66" si="47">BI49*(1+(G14/100))</f>
        <v>37178.675825559643</v>
      </c>
      <c r="H50" s="2">
        <f t="shared" si="15"/>
        <v>54035.915564007722</v>
      </c>
      <c r="I50" s="2">
        <f t="shared" si="45"/>
        <v>170167.42605962569</v>
      </c>
      <c r="J50" s="2">
        <f t="shared" si="16"/>
        <v>13889.062330370012</v>
      </c>
      <c r="K50" s="6">
        <f t="shared" si="17"/>
        <v>8.8873865831050711E-2</v>
      </c>
      <c r="L50" s="7">
        <f t="shared" si="18"/>
        <v>1.0888738658310506</v>
      </c>
      <c r="N50">
        <f t="shared" si="19"/>
        <v>2003</v>
      </c>
      <c r="O50" s="2">
        <f t="shared" si="20"/>
        <v>5892.5339710906101</v>
      </c>
      <c r="P50" s="2"/>
      <c r="Q50" s="2"/>
      <c r="R50">
        <f t="shared" si="21"/>
        <v>2003</v>
      </c>
      <c r="S50" s="2">
        <f>B50-($O50/4)</f>
        <v>29582.148789650844</v>
      </c>
      <c r="T50" s="2">
        <f>C50-($O50/4)</f>
        <v>46424.418894862174</v>
      </c>
      <c r="U50" s="2"/>
      <c r="V50" s="2"/>
      <c r="W50" s="2"/>
      <c r="X50" s="2">
        <f>G50-($O50/4)</f>
        <v>35705.542332786994</v>
      </c>
      <c r="Y50" s="2">
        <f>H50-($O50/4)</f>
        <v>52562.782071235073</v>
      </c>
      <c r="Z50" s="2">
        <f t="shared" si="24"/>
        <v>164274.8920885351</v>
      </c>
      <c r="AA50" s="2">
        <f t="shared" si="25"/>
        <v>13745.341989611712</v>
      </c>
      <c r="AB50" s="6">
        <f t="shared" si="26"/>
        <v>9.1313247004184209E-2</v>
      </c>
      <c r="AC50" s="7">
        <f t="shared" si="27"/>
        <v>1.0913132470041842</v>
      </c>
      <c r="AD50" s="2">
        <f t="shared" si="28"/>
        <v>0</v>
      </c>
      <c r="AE50" s="2"/>
      <c r="AG50">
        <f t="shared" si="29"/>
        <v>2003</v>
      </c>
      <c r="AH50" s="38">
        <f t="shared" si="6"/>
        <v>0.18007711594604306</v>
      </c>
      <c r="AI50" s="6">
        <f t="shared" si="7"/>
        <v>0.28260203555539076</v>
      </c>
      <c r="AJ50" s="7"/>
      <c r="AK50" s="7"/>
      <c r="AL50" s="7"/>
      <c r="AM50" s="6">
        <f t="shared" si="30"/>
        <v>0.21735240168986797</v>
      </c>
      <c r="AN50" s="6">
        <f t="shared" si="31"/>
        <v>0.31996844680869818</v>
      </c>
      <c r="AO50" s="6">
        <f t="shared" si="32"/>
        <v>0.99999999999999989</v>
      </c>
      <c r="AP50" s="7">
        <f t="shared" si="33"/>
        <v>0.68003155319130171</v>
      </c>
      <c r="AQ50" s="7">
        <f t="shared" si="34"/>
        <v>0</v>
      </c>
      <c r="AR50" s="24"/>
      <c r="AS50">
        <f t="shared" si="35"/>
        <v>2003</v>
      </c>
      <c r="AT50" s="39" t="b">
        <f t="shared" si="36"/>
        <v>1</v>
      </c>
      <c r="AU50" s="1" t="b">
        <f t="shared" si="37"/>
        <v>1</v>
      </c>
      <c r="AY50" s="1" t="b">
        <f t="shared" si="46"/>
        <v>1</v>
      </c>
      <c r="AZ50" s="1" t="b">
        <f t="shared" si="38"/>
        <v>1</v>
      </c>
      <c r="BA50" s="1" t="b">
        <f t="shared" si="39"/>
        <v>1</v>
      </c>
      <c r="BC50">
        <f t="shared" si="40"/>
        <v>2003</v>
      </c>
      <c r="BD50" s="40">
        <f>$BK50*BD$39</f>
        <v>32854.978417707018</v>
      </c>
      <c r="BE50" s="40">
        <f>$BK50*BE$39</f>
        <v>49282.46762656053</v>
      </c>
      <c r="BF50" s="2"/>
      <c r="BG50" s="2"/>
      <c r="BH50" s="2"/>
      <c r="BI50" s="40">
        <f>$BK50*BI$39</f>
        <v>32854.978417707018</v>
      </c>
      <c r="BJ50" s="40">
        <f>$BK50*BJ$39</f>
        <v>49282.46762656053</v>
      </c>
      <c r="BK50" s="2">
        <f t="shared" si="43"/>
        <v>164274.8920885351</v>
      </c>
      <c r="BL50" s="2">
        <f t="shared" si="44"/>
        <v>0</v>
      </c>
      <c r="BM50" s="2"/>
    </row>
    <row r="51" spans="1:65" x14ac:dyDescent="0.25">
      <c r="A51">
        <f t="shared" si="8"/>
        <v>2004</v>
      </c>
      <c r="B51" s="2">
        <f t="shared" ref="B51:B66" si="48">BD50*(1+(B15/100))</f>
        <v>36383.603099768749</v>
      </c>
      <c r="C51" s="2"/>
      <c r="D51" s="2">
        <f>($BE50*0.67)*(1+(D15/100))</f>
        <v>39739.661935938253</v>
      </c>
      <c r="E51" s="2">
        <f>($BE50*0.33)*(1+(E15/100))</f>
        <v>19499.106069371705</v>
      </c>
      <c r="F51" s="2"/>
      <c r="G51" s="2">
        <f t="shared" si="47"/>
        <v>39700.97027060463</v>
      </c>
      <c r="H51" s="2">
        <f t="shared" si="15"/>
        <v>51372.044253926695</v>
      </c>
      <c r="I51" s="2">
        <f t="shared" si="45"/>
        <v>186695.38562961004</v>
      </c>
      <c r="J51" s="2">
        <f t="shared" si="16"/>
        <v>16527.959569984348</v>
      </c>
      <c r="K51" s="6">
        <f t="shared" si="17"/>
        <v>9.7127634546185393E-2</v>
      </c>
      <c r="L51" s="7">
        <f t="shared" si="18"/>
        <v>1.0971276345461853</v>
      </c>
      <c r="N51">
        <f t="shared" si="19"/>
        <v>2004</v>
      </c>
      <c r="O51" s="2">
        <f t="shared" si="20"/>
        <v>6010.384650512422</v>
      </c>
      <c r="P51" s="2"/>
      <c r="Q51" s="2"/>
      <c r="R51">
        <f t="shared" si="21"/>
        <v>2004</v>
      </c>
      <c r="S51" s="2">
        <f>B51-($O51/5)</f>
        <v>35181.526169666264</v>
      </c>
      <c r="T51" s="2"/>
      <c r="U51" s="2">
        <f>D51-($O51/5)</f>
        <v>38537.585005835768</v>
      </c>
      <c r="V51" s="2">
        <f>E51-($O51/5)</f>
        <v>18297.02913926922</v>
      </c>
      <c r="W51" s="2"/>
      <c r="X51" s="2">
        <f>G51-($O51/5)</f>
        <v>38498.893340502145</v>
      </c>
      <c r="Y51" s="2">
        <f>H51-($O51/5)</f>
        <v>50169.96732382421</v>
      </c>
      <c r="Z51" s="2">
        <f t="shared" si="24"/>
        <v>180685.00097909762</v>
      </c>
      <c r="AA51" s="2">
        <f t="shared" si="25"/>
        <v>16410.108890562522</v>
      </c>
      <c r="AB51" s="6">
        <f t="shared" si="26"/>
        <v>9.989419978871987E-2</v>
      </c>
      <c r="AC51" s="7">
        <f t="shared" si="27"/>
        <v>1.0998941997887199</v>
      </c>
      <c r="AD51" s="2">
        <f t="shared" si="28"/>
        <v>0</v>
      </c>
      <c r="AE51" s="2"/>
      <c r="AG51">
        <f t="shared" si="29"/>
        <v>2004</v>
      </c>
      <c r="AH51" s="6">
        <f t="shared" ref="AH51:AH64" si="49">S51/$Z51</f>
        <v>0.19471193501964343</v>
      </c>
      <c r="AI51" s="7"/>
      <c r="AJ51" s="6">
        <f t="shared" ref="AJ51:AJ64" si="50">U51/$Z51</f>
        <v>0.21328602151262105</v>
      </c>
      <c r="AK51" s="6">
        <f t="shared" ref="AK51:AK64" si="51">V51/$Z51</f>
        <v>0.10126479254017269</v>
      </c>
      <c r="AL51" s="7"/>
      <c r="AM51" s="6">
        <f t="shared" si="30"/>
        <v>0.21307188273450464</v>
      </c>
      <c r="AN51" s="6">
        <f t="shared" si="31"/>
        <v>0.27766536819305815</v>
      </c>
      <c r="AO51" s="6">
        <f t="shared" si="32"/>
        <v>1</v>
      </c>
      <c r="AP51" s="7">
        <f t="shared" si="33"/>
        <v>0.7223346318069418</v>
      </c>
      <c r="AQ51" s="7">
        <f t="shared" si="34"/>
        <v>0</v>
      </c>
      <c r="AR51" s="24"/>
      <c r="AS51">
        <f t="shared" si="35"/>
        <v>2004</v>
      </c>
      <c r="AT51" s="1" t="b">
        <f t="shared" si="36"/>
        <v>1</v>
      </c>
      <c r="AV51" s="1" t="b">
        <f>AND((U51/$Z51)&gt;0.15,(U51/$Z51)&lt;0.25)</f>
        <v>1</v>
      </c>
      <c r="AW51" s="1" t="b">
        <f>AND((V51/$Z51)&gt;0.05,(V51/$Z51)&lt;0.15)</f>
        <v>1</v>
      </c>
      <c r="AY51" s="1" t="b">
        <f t="shared" si="46"/>
        <v>1</v>
      </c>
      <c r="AZ51" s="1" t="b">
        <f t="shared" si="38"/>
        <v>1</v>
      </c>
      <c r="BA51" s="1" t="b">
        <f t="shared" si="39"/>
        <v>1</v>
      </c>
      <c r="BC51">
        <f t="shared" si="40"/>
        <v>2004</v>
      </c>
      <c r="BD51" s="2">
        <f t="shared" si="41"/>
        <v>35181.526169666264</v>
      </c>
      <c r="BE51" s="2"/>
      <c r="BF51" s="2">
        <f t="shared" ref="BF51" si="52">U51</f>
        <v>38537.585005835768</v>
      </c>
      <c r="BG51" s="2">
        <f t="shared" ref="BG51" si="53">V51</f>
        <v>18297.02913926922</v>
      </c>
      <c r="BH51" s="2"/>
      <c r="BI51" s="2">
        <f>X51</f>
        <v>38498.893340502145</v>
      </c>
      <c r="BJ51" s="2">
        <f t="shared" ref="BJ51:BJ53" si="54">Y51</f>
        <v>50169.96732382421</v>
      </c>
      <c r="BK51" s="2">
        <f t="shared" si="43"/>
        <v>180685.00097909762</v>
      </c>
      <c r="BL51" s="2">
        <f t="shared" si="44"/>
        <v>0</v>
      </c>
      <c r="BM51" s="2"/>
    </row>
    <row r="52" spans="1:65" x14ac:dyDescent="0.25">
      <c r="A52">
        <f t="shared" si="8"/>
        <v>2005</v>
      </c>
      <c r="B52" s="2">
        <f t="shared" si="48"/>
        <v>36859.684967959351</v>
      </c>
      <c r="C52" s="2"/>
      <c r="D52" s="2">
        <f t="shared" ref="D52:D66" si="55">BF51*(1+(D16/100))</f>
        <v>43906.255972998748</v>
      </c>
      <c r="E52" s="2">
        <f t="shared" ref="E52:E66" si="56">BG51*(1+(E16/100))</f>
        <v>19644.239394793614</v>
      </c>
      <c r="F52" s="2"/>
      <c r="G52" s="2">
        <f t="shared" si="47"/>
        <v>44493.556022551733</v>
      </c>
      <c r="H52" s="2">
        <f t="shared" si="15"/>
        <v>51374.046539595991</v>
      </c>
      <c r="I52" s="2">
        <f t="shared" si="45"/>
        <v>196277.78289789942</v>
      </c>
      <c r="J52" s="2">
        <f t="shared" si="16"/>
        <v>9582.39726828938</v>
      </c>
      <c r="K52" s="6">
        <f t="shared" si="17"/>
        <v>5.1326374435949659E-2</v>
      </c>
      <c r="L52" s="7">
        <f t="shared" si="18"/>
        <v>1.0513263744359496</v>
      </c>
      <c r="N52">
        <f t="shared" si="19"/>
        <v>2005</v>
      </c>
      <c r="O52" s="2">
        <f t="shared" si="20"/>
        <v>6208.7273439793316</v>
      </c>
      <c r="P52" s="2"/>
      <c r="Q52" s="2"/>
      <c r="R52">
        <f t="shared" si="21"/>
        <v>2005</v>
      </c>
      <c r="S52" s="2">
        <f t="shared" ref="S52:S64" si="57">B52-($O52/5)</f>
        <v>35617.939499163484</v>
      </c>
      <c r="T52" s="2"/>
      <c r="U52" s="2">
        <f t="shared" ref="U52:V64" si="58">D52-($O52/5)</f>
        <v>42664.510504202881</v>
      </c>
      <c r="V52" s="2">
        <f t="shared" si="58"/>
        <v>18402.493925997747</v>
      </c>
      <c r="W52" s="2"/>
      <c r="X52" s="2">
        <f t="shared" ref="X52:Y64" si="59">G52-($O52/5)</f>
        <v>43251.810553755866</v>
      </c>
      <c r="Y52" s="2">
        <f t="shared" si="59"/>
        <v>50132.301070800124</v>
      </c>
      <c r="Z52" s="2">
        <f t="shared" si="24"/>
        <v>190069.0555539201</v>
      </c>
      <c r="AA52" s="2">
        <f t="shared" si="25"/>
        <v>9384.0545748224831</v>
      </c>
      <c r="AB52" s="6">
        <f t="shared" si="26"/>
        <v>5.1935990945413721E-2</v>
      </c>
      <c r="AC52" s="7">
        <f t="shared" si="27"/>
        <v>1.0519359909454138</v>
      </c>
      <c r="AD52" s="2">
        <f t="shared" si="28"/>
        <v>0</v>
      </c>
      <c r="AE52" s="2"/>
      <c r="AG52">
        <f t="shared" si="29"/>
        <v>2005</v>
      </c>
      <c r="AH52" s="6">
        <f t="shared" si="49"/>
        <v>0.18739473080119104</v>
      </c>
      <c r="AI52" s="7"/>
      <c r="AJ52" s="6">
        <f t="shared" si="50"/>
        <v>0.22446847215537155</v>
      </c>
      <c r="AK52" s="6">
        <f t="shared" si="51"/>
        <v>9.682004191775026E-2</v>
      </c>
      <c r="AL52" s="7"/>
      <c r="AM52" s="6">
        <f t="shared" si="30"/>
        <v>0.22755840201187244</v>
      </c>
      <c r="AN52" s="6">
        <f t="shared" si="31"/>
        <v>0.26375835311381474</v>
      </c>
      <c r="AO52" s="6">
        <f t="shared" si="32"/>
        <v>1</v>
      </c>
      <c r="AP52" s="7">
        <f t="shared" si="33"/>
        <v>0.73624164688618521</v>
      </c>
      <c r="AQ52" s="7">
        <f t="shared" si="34"/>
        <v>0</v>
      </c>
      <c r="AR52" s="24"/>
      <c r="AS52">
        <f t="shared" si="35"/>
        <v>2005</v>
      </c>
      <c r="AT52" s="1" t="b">
        <f t="shared" si="36"/>
        <v>1</v>
      </c>
      <c r="AV52" s="1" t="b">
        <f t="shared" ref="AV52:AV64" si="60">AND((U52/$Z52)&gt;0.15,(U52/$Z52)&lt;0.25)</f>
        <v>1</v>
      </c>
      <c r="AW52" s="1" t="b">
        <f t="shared" ref="AW52:AW64" si="61">AND((V52/$Z52)&gt;0.05,(V52/$Z52)&lt;0.15)</f>
        <v>1</v>
      </c>
      <c r="AY52" s="1" t="b">
        <f t="shared" si="46"/>
        <v>1</v>
      </c>
      <c r="AZ52" s="1" t="b">
        <f t="shared" si="38"/>
        <v>1</v>
      </c>
      <c r="BA52" s="1" t="b">
        <f t="shared" si="39"/>
        <v>1</v>
      </c>
      <c r="BC52">
        <f t="shared" si="40"/>
        <v>2005</v>
      </c>
      <c r="BD52" s="2">
        <f t="shared" si="41"/>
        <v>35617.939499163484</v>
      </c>
      <c r="BE52" s="2"/>
      <c r="BF52" s="2">
        <f t="shared" ref="BF52:BF64" si="62">U52</f>
        <v>42664.510504202881</v>
      </c>
      <c r="BG52" s="2">
        <f t="shared" ref="BG52:BG64" si="63">V52</f>
        <v>18402.493925997747</v>
      </c>
      <c r="BH52" s="2"/>
      <c r="BI52" s="2">
        <f>X52</f>
        <v>43251.810553755866</v>
      </c>
      <c r="BJ52" s="2">
        <f t="shared" si="54"/>
        <v>50132.301070800124</v>
      </c>
      <c r="BK52" s="2">
        <f t="shared" si="43"/>
        <v>190069.0555539201</v>
      </c>
      <c r="BL52" s="2">
        <f t="shared" si="44"/>
        <v>0</v>
      </c>
      <c r="BM52" s="2"/>
    </row>
    <row r="53" spans="1:65" x14ac:dyDescent="0.25">
      <c r="A53">
        <f t="shared" si="8"/>
        <v>2006</v>
      </c>
      <c r="B53" s="2">
        <f t="shared" si="48"/>
        <v>41188.585236832652</v>
      </c>
      <c r="C53" s="2"/>
      <c r="D53" s="2">
        <f t="shared" si="55"/>
        <v>48465.603997459344</v>
      </c>
      <c r="E53" s="2">
        <f t="shared" si="56"/>
        <v>21283.588375051957</v>
      </c>
      <c r="F53" s="2"/>
      <c r="G53" s="2">
        <f t="shared" si="47"/>
        <v>54772.795330959816</v>
      </c>
      <c r="H53" s="2">
        <f t="shared" si="15"/>
        <v>52272.950326523285</v>
      </c>
      <c r="I53" s="2">
        <f t="shared" si="45"/>
        <v>217983.52326682705</v>
      </c>
      <c r="J53" s="2">
        <f t="shared" si="16"/>
        <v>21705.740368927625</v>
      </c>
      <c r="K53" s="6">
        <f t="shared" si="17"/>
        <v>0.11058684303673129</v>
      </c>
      <c r="L53" s="7">
        <f t="shared" si="18"/>
        <v>1.1105868430367314</v>
      </c>
      <c r="N53">
        <f t="shared" si="19"/>
        <v>2006</v>
      </c>
      <c r="O53" s="2">
        <f t="shared" si="20"/>
        <v>6413.6153463306491</v>
      </c>
      <c r="P53" s="2"/>
      <c r="Q53" s="2"/>
      <c r="R53">
        <f t="shared" si="21"/>
        <v>2006</v>
      </c>
      <c r="S53" s="2">
        <f t="shared" si="57"/>
        <v>39905.86216756652</v>
      </c>
      <c r="T53" s="2"/>
      <c r="U53" s="2">
        <f t="shared" si="58"/>
        <v>47182.880928193212</v>
      </c>
      <c r="V53" s="2">
        <f t="shared" si="58"/>
        <v>20000.865305785828</v>
      </c>
      <c r="W53" s="2"/>
      <c r="X53" s="2">
        <f t="shared" si="59"/>
        <v>53490.072261693684</v>
      </c>
      <c r="Y53" s="2">
        <f t="shared" si="59"/>
        <v>50990.227257257153</v>
      </c>
      <c r="Z53" s="2">
        <f t="shared" si="24"/>
        <v>211569.90792049642</v>
      </c>
      <c r="AA53" s="2">
        <f t="shared" si="25"/>
        <v>21500.85236657632</v>
      </c>
      <c r="AB53" s="6">
        <f t="shared" si="26"/>
        <v>0.11312126692015266</v>
      </c>
      <c r="AC53" s="7">
        <f t="shared" si="27"/>
        <v>1.1131212669201527</v>
      </c>
      <c r="AD53" s="2">
        <f t="shared" si="28"/>
        <v>0</v>
      </c>
      <c r="AE53" s="2"/>
      <c r="AG53">
        <f t="shared" si="29"/>
        <v>2006</v>
      </c>
      <c r="AH53" s="6">
        <f t="shared" si="49"/>
        <v>0.18861785477811105</v>
      </c>
      <c r="AI53" s="7"/>
      <c r="AJ53" s="6">
        <f t="shared" si="50"/>
        <v>0.22301319404044717</v>
      </c>
      <c r="AK53" s="6">
        <f t="shared" si="51"/>
        <v>9.4535491849350048E-2</v>
      </c>
      <c r="AL53" s="7"/>
      <c r="AM53" s="6">
        <f t="shared" si="30"/>
        <v>0.25282457598740432</v>
      </c>
      <c r="AN53" s="59">
        <f t="shared" si="31"/>
        <v>0.24100888334468729</v>
      </c>
      <c r="AO53" s="6">
        <f t="shared" si="32"/>
        <v>0.99999999999999978</v>
      </c>
      <c r="AP53" s="7">
        <f t="shared" si="33"/>
        <v>0.75899111665531249</v>
      </c>
      <c r="AQ53" s="7">
        <f t="shared" si="34"/>
        <v>0</v>
      </c>
      <c r="AR53" s="24"/>
      <c r="AS53">
        <f t="shared" si="35"/>
        <v>2006</v>
      </c>
      <c r="AT53" s="1" t="b">
        <f t="shared" si="36"/>
        <v>1</v>
      </c>
      <c r="AV53" s="1" t="b">
        <f t="shared" si="60"/>
        <v>1</v>
      </c>
      <c r="AW53" s="1" t="b">
        <f t="shared" si="61"/>
        <v>1</v>
      </c>
      <c r="AY53" s="1" t="b">
        <f t="shared" si="46"/>
        <v>0</v>
      </c>
      <c r="AZ53" s="1" t="b">
        <f t="shared" si="38"/>
        <v>0</v>
      </c>
      <c r="BA53" s="1" t="b">
        <f t="shared" si="39"/>
        <v>1</v>
      </c>
      <c r="BC53">
        <f t="shared" si="40"/>
        <v>2006</v>
      </c>
      <c r="BD53" s="2">
        <f t="shared" si="41"/>
        <v>39905.86216756652</v>
      </c>
      <c r="BE53" s="2"/>
      <c r="BF53" s="2">
        <f t="shared" si="62"/>
        <v>47182.880928193212</v>
      </c>
      <c r="BG53" s="2">
        <f t="shared" si="63"/>
        <v>20000.865305785828</v>
      </c>
      <c r="BH53" s="2"/>
      <c r="BI53" s="2">
        <f>X53</f>
        <v>53490.072261693684</v>
      </c>
      <c r="BJ53" s="2">
        <f t="shared" si="54"/>
        <v>50990.227257257153</v>
      </c>
      <c r="BK53" s="2">
        <f t="shared" si="43"/>
        <v>211569.90792049642</v>
      </c>
      <c r="BL53" s="2">
        <f t="shared" si="44"/>
        <v>0</v>
      </c>
      <c r="BM53" s="2"/>
    </row>
    <row r="54" spans="1:65" x14ac:dyDescent="0.25">
      <c r="A54">
        <f t="shared" si="8"/>
        <v>2007</v>
      </c>
      <c r="B54" s="2">
        <f t="shared" si="48"/>
        <v>42056.788138398355</v>
      </c>
      <c r="C54" s="2"/>
      <c r="D54" s="2">
        <f t="shared" si="55"/>
        <v>50023.762188879729</v>
      </c>
      <c r="E54" s="2">
        <f t="shared" si="56"/>
        <v>20232.075308720712</v>
      </c>
      <c r="F54" s="2"/>
      <c r="G54" s="2">
        <f t="shared" si="47"/>
        <v>61792.801278153769</v>
      </c>
      <c r="H54" s="2">
        <f t="shared" si="15"/>
        <v>54518.750983459344</v>
      </c>
      <c r="I54" s="2">
        <f t="shared" si="45"/>
        <v>228624.17789761192</v>
      </c>
      <c r="J54" s="2">
        <f t="shared" si="16"/>
        <v>10640.654630784877</v>
      </c>
      <c r="K54" s="6">
        <f t="shared" si="17"/>
        <v>4.8814031773217893E-2</v>
      </c>
      <c r="L54" s="7">
        <f t="shared" si="18"/>
        <v>1.048814031773218</v>
      </c>
      <c r="N54">
        <f t="shared" si="19"/>
        <v>2007</v>
      </c>
      <c r="O54" s="2">
        <f t="shared" si="20"/>
        <v>6573.9557299889148</v>
      </c>
      <c r="P54" s="2"/>
      <c r="Q54" s="2"/>
      <c r="R54">
        <f t="shared" si="21"/>
        <v>2007</v>
      </c>
      <c r="S54" s="2">
        <f t="shared" si="57"/>
        <v>40741.996992400571</v>
      </c>
      <c r="T54" s="2"/>
      <c r="U54" s="2">
        <f t="shared" si="58"/>
        <v>48708.971042881945</v>
      </c>
      <c r="V54" s="2">
        <f t="shared" si="58"/>
        <v>18917.284162722928</v>
      </c>
      <c r="W54" s="2"/>
      <c r="X54" s="2">
        <f t="shared" si="59"/>
        <v>60478.010132155985</v>
      </c>
      <c r="Y54" s="2">
        <f t="shared" si="59"/>
        <v>53203.95983746156</v>
      </c>
      <c r="Z54" s="2">
        <f t="shared" si="24"/>
        <v>222050.222167623</v>
      </c>
      <c r="AA54" s="2">
        <f t="shared" si="25"/>
        <v>10480.314247126575</v>
      </c>
      <c r="AB54" s="6">
        <f t="shared" si="26"/>
        <v>4.9535939917622215E-2</v>
      </c>
      <c r="AC54" s="7">
        <f t="shared" si="27"/>
        <v>1.0495359399176223</v>
      </c>
      <c r="AD54" s="2">
        <f t="shared" si="28"/>
        <v>0</v>
      </c>
      <c r="AE54" s="2"/>
      <c r="AG54">
        <f t="shared" si="29"/>
        <v>2007</v>
      </c>
      <c r="AH54" s="6">
        <f t="shared" si="49"/>
        <v>0.18348100080550667</v>
      </c>
      <c r="AI54" s="7"/>
      <c r="AJ54" s="6">
        <f t="shared" si="50"/>
        <v>0.21936015450645277</v>
      </c>
      <c r="AK54" s="6">
        <f t="shared" si="51"/>
        <v>8.5193718691452161E-2</v>
      </c>
      <c r="AL54" s="7"/>
      <c r="AM54" s="38">
        <f t="shared" si="30"/>
        <v>0.27236185373641225</v>
      </c>
      <c r="AN54" s="38">
        <f t="shared" si="31"/>
        <v>0.23960327226017608</v>
      </c>
      <c r="AO54" s="6">
        <f t="shared" si="32"/>
        <v>0.99999999999999989</v>
      </c>
      <c r="AP54" s="7">
        <f t="shared" si="33"/>
        <v>0.76039672773982381</v>
      </c>
      <c r="AQ54" s="7">
        <f t="shared" si="34"/>
        <v>0</v>
      </c>
      <c r="AR54" s="24"/>
      <c r="AS54">
        <f t="shared" si="35"/>
        <v>2007</v>
      </c>
      <c r="AT54" s="39" t="b">
        <f t="shared" si="36"/>
        <v>1</v>
      </c>
      <c r="AV54" s="1" t="b">
        <f t="shared" si="60"/>
        <v>1</v>
      </c>
      <c r="AW54" s="1" t="b">
        <f t="shared" si="61"/>
        <v>1</v>
      </c>
      <c r="AY54" s="39" t="b">
        <f t="shared" si="46"/>
        <v>0</v>
      </c>
      <c r="AZ54" s="39" t="b">
        <f t="shared" si="38"/>
        <v>0</v>
      </c>
      <c r="BA54" s="1" t="b">
        <f t="shared" si="39"/>
        <v>1</v>
      </c>
      <c r="BC54">
        <f t="shared" si="40"/>
        <v>2007</v>
      </c>
      <c r="BD54" s="40">
        <f>$BK54*BD$39</f>
        <v>44410.044433524599</v>
      </c>
      <c r="BE54" s="2"/>
      <c r="BF54" s="40">
        <f t="shared" ref="BF54:BG55" si="64">$BK54*BF$39</f>
        <v>44410.044433524599</v>
      </c>
      <c r="BG54" s="40">
        <f t="shared" si="64"/>
        <v>22205.0222167623</v>
      </c>
      <c r="BH54" s="2"/>
      <c r="BI54" s="40">
        <f>$BK54*BI$39</f>
        <v>44410.044433524599</v>
      </c>
      <c r="BJ54" s="40">
        <f t="shared" ref="BJ54:BJ55" si="65">$BK54*BJ$39</f>
        <v>66615.066650286899</v>
      </c>
      <c r="BK54" s="2">
        <f t="shared" si="43"/>
        <v>222050.222167623</v>
      </c>
      <c r="BL54" s="2">
        <f t="shared" si="44"/>
        <v>0</v>
      </c>
      <c r="BM54" s="2"/>
    </row>
    <row r="55" spans="1:65" x14ac:dyDescent="0.25">
      <c r="A55">
        <f t="shared" si="8"/>
        <v>2008</v>
      </c>
      <c r="B55" s="2">
        <f t="shared" si="48"/>
        <v>27969.445984233789</v>
      </c>
      <c r="C55" s="2"/>
      <c r="D55" s="2">
        <f t="shared" si="55"/>
        <v>25835.987449647273</v>
      </c>
      <c r="E55" s="2">
        <f t="shared" si="56"/>
        <v>14195.670703176138</v>
      </c>
      <c r="F55" s="2"/>
      <c r="G55" s="2">
        <f t="shared" si="47"/>
        <v>24824.770737895917</v>
      </c>
      <c r="H55" s="2">
        <f t="shared" si="15"/>
        <v>69979.127516126391</v>
      </c>
      <c r="I55" s="2">
        <f t="shared" si="45"/>
        <v>162805.0023910795</v>
      </c>
      <c r="J55" s="2">
        <f t="shared" si="16"/>
        <v>-65819.175506532425</v>
      </c>
      <c r="K55" s="6">
        <f t="shared" si="17"/>
        <v>-0.28789245350948484</v>
      </c>
      <c r="L55" s="7">
        <f t="shared" si="18"/>
        <v>0.71210754649051511</v>
      </c>
      <c r="N55">
        <f t="shared" si="19"/>
        <v>2008</v>
      </c>
      <c r="O55" s="2">
        <f t="shared" si="20"/>
        <v>6843.4879149184599</v>
      </c>
      <c r="P55" s="2"/>
      <c r="Q55" s="2"/>
      <c r="R55">
        <f t="shared" si="21"/>
        <v>2008</v>
      </c>
      <c r="S55" s="2">
        <f t="shared" si="57"/>
        <v>26600.748401250097</v>
      </c>
      <c r="T55" s="2"/>
      <c r="U55" s="2">
        <f t="shared" si="58"/>
        <v>24467.289866663581</v>
      </c>
      <c r="V55" s="2">
        <f t="shared" si="58"/>
        <v>12826.973120192446</v>
      </c>
      <c r="W55" s="2"/>
      <c r="X55" s="2">
        <f t="shared" si="59"/>
        <v>23456.073154912225</v>
      </c>
      <c r="Y55" s="2">
        <f t="shared" si="59"/>
        <v>68610.429933142703</v>
      </c>
      <c r="Z55" s="2">
        <f t="shared" si="24"/>
        <v>155961.51447616104</v>
      </c>
      <c r="AA55" s="2">
        <f t="shared" si="25"/>
        <v>-66088.707691461954</v>
      </c>
      <c r="AB55" s="6">
        <f t="shared" si="26"/>
        <v>-0.29762954995637159</v>
      </c>
      <c r="AC55" s="7">
        <f t="shared" si="27"/>
        <v>0.70237045004362841</v>
      </c>
      <c r="AD55" s="2">
        <f t="shared" si="28"/>
        <v>0</v>
      </c>
      <c r="AE55" s="2"/>
      <c r="AG55">
        <f t="shared" si="29"/>
        <v>2008</v>
      </c>
      <c r="AH55" s="6">
        <f t="shared" si="49"/>
        <v>0.17055969538764681</v>
      </c>
      <c r="AI55" s="7"/>
      <c r="AJ55" s="6">
        <f t="shared" si="50"/>
        <v>0.15688030440614531</v>
      </c>
      <c r="AK55" s="6">
        <f t="shared" si="51"/>
        <v>8.2244476550995968E-2</v>
      </c>
      <c r="AL55" s="7"/>
      <c r="AM55" s="6">
        <f t="shared" si="30"/>
        <v>0.15039654644093317</v>
      </c>
      <c r="AN55" s="38">
        <f t="shared" si="31"/>
        <v>0.43991897721427881</v>
      </c>
      <c r="AO55" s="6">
        <f t="shared" si="32"/>
        <v>1</v>
      </c>
      <c r="AP55" s="7">
        <f t="shared" si="33"/>
        <v>0.56008102278572125</v>
      </c>
      <c r="AQ55" s="7">
        <f t="shared" si="34"/>
        <v>0</v>
      </c>
      <c r="AR55" s="24"/>
      <c r="AS55">
        <f t="shared" si="35"/>
        <v>2008</v>
      </c>
      <c r="AT55" s="1" t="b">
        <f t="shared" si="36"/>
        <v>1</v>
      </c>
      <c r="AV55" s="1" t="b">
        <f t="shared" si="60"/>
        <v>1</v>
      </c>
      <c r="AW55" s="1" t="b">
        <f t="shared" si="61"/>
        <v>1</v>
      </c>
      <c r="AY55" s="1" t="b">
        <f t="shared" si="46"/>
        <v>1</v>
      </c>
      <c r="AZ55" s="39" t="b">
        <f t="shared" si="38"/>
        <v>0</v>
      </c>
      <c r="BA55" s="1" t="b">
        <f t="shared" si="39"/>
        <v>1</v>
      </c>
      <c r="BC55">
        <f t="shared" si="40"/>
        <v>2008</v>
      </c>
      <c r="BD55" s="40">
        <f>$BK55*BD$39</f>
        <v>31192.302895232209</v>
      </c>
      <c r="BE55" s="2"/>
      <c r="BF55" s="40">
        <f t="shared" si="64"/>
        <v>31192.302895232209</v>
      </c>
      <c r="BG55" s="40">
        <f t="shared" si="64"/>
        <v>15596.151447616105</v>
      </c>
      <c r="BH55" s="2"/>
      <c r="BI55" s="40">
        <f>$BK55*BI$39</f>
        <v>31192.302895232209</v>
      </c>
      <c r="BJ55" s="40">
        <f t="shared" si="65"/>
        <v>46788.454342848308</v>
      </c>
      <c r="BK55" s="2">
        <f t="shared" si="43"/>
        <v>155961.51447616104</v>
      </c>
      <c r="BL55" s="2">
        <f t="shared" si="44"/>
        <v>0</v>
      </c>
      <c r="BM55" s="2"/>
    </row>
    <row r="56" spans="1:65" x14ac:dyDescent="0.25">
      <c r="A56">
        <f t="shared" si="8"/>
        <v>2009</v>
      </c>
      <c r="B56" s="2">
        <f t="shared" si="48"/>
        <v>39455.14393217922</v>
      </c>
      <c r="C56" s="2"/>
      <c r="D56" s="2">
        <f t="shared" si="55"/>
        <v>43737.2232736367</v>
      </c>
      <c r="E56" s="2">
        <f t="shared" si="56"/>
        <v>21229.169427466091</v>
      </c>
      <c r="F56" s="2"/>
      <c r="G56" s="2">
        <f t="shared" si="47"/>
        <v>42648.299979564144</v>
      </c>
      <c r="H56" s="2">
        <f t="shared" si="15"/>
        <v>49563.009685379206</v>
      </c>
      <c r="I56" s="2">
        <f t="shared" si="45"/>
        <v>196632.84629822534</v>
      </c>
      <c r="J56" s="2">
        <f>I56-I55</f>
        <v>33827.843907145842</v>
      </c>
      <c r="K56" s="6">
        <f>(J56/I55)</f>
        <v>0.20778135444442189</v>
      </c>
      <c r="L56" s="7">
        <f t="shared" si="18"/>
        <v>1.2077813544444218</v>
      </c>
      <c r="N56">
        <f t="shared" si="19"/>
        <v>2009</v>
      </c>
      <c r="O56" s="2">
        <f t="shared" si="20"/>
        <v>6843.4879149184599</v>
      </c>
      <c r="P56" s="2"/>
      <c r="Q56" s="2"/>
      <c r="R56">
        <f t="shared" si="21"/>
        <v>2009</v>
      </c>
      <c r="S56" s="2">
        <f t="shared" si="57"/>
        <v>38086.446349195525</v>
      </c>
      <c r="T56" s="2"/>
      <c r="U56" s="2">
        <f t="shared" si="58"/>
        <v>42368.525690653012</v>
      </c>
      <c r="V56" s="2">
        <f t="shared" si="58"/>
        <v>19860.471844482399</v>
      </c>
      <c r="W56" s="2"/>
      <c r="X56" s="2">
        <f t="shared" si="59"/>
        <v>41279.602396580449</v>
      </c>
      <c r="Y56" s="2">
        <f t="shared" si="59"/>
        <v>48194.312102395517</v>
      </c>
      <c r="Z56" s="2">
        <f t="shared" si="24"/>
        <v>189789.35838330688</v>
      </c>
      <c r="AA56" s="2">
        <f>Z56-Z55</f>
        <v>33827.843907145842</v>
      </c>
      <c r="AB56" s="6">
        <f>(AA56/Z55)</f>
        <v>0.21689866260125654</v>
      </c>
      <c r="AC56" s="7">
        <f t="shared" si="27"/>
        <v>1.2168986626012566</v>
      </c>
      <c r="AD56" s="2">
        <f t="shared" si="28"/>
        <v>0</v>
      </c>
      <c r="AE56" s="2"/>
      <c r="AG56">
        <f t="shared" si="29"/>
        <v>2009</v>
      </c>
      <c r="AH56" s="6">
        <f t="shared" si="49"/>
        <v>0.20067745986197219</v>
      </c>
      <c r="AI56" s="7"/>
      <c r="AJ56" s="6">
        <f t="shared" si="50"/>
        <v>0.22323973299432145</v>
      </c>
      <c r="AK56" s="6">
        <f t="shared" si="51"/>
        <v>0.10464481261573856</v>
      </c>
      <c r="AL56" s="7"/>
      <c r="AM56" s="6">
        <f t="shared" si="30"/>
        <v>0.21750219689984071</v>
      </c>
      <c r="AN56" s="6">
        <f t="shared" si="31"/>
        <v>0.25393579762812718</v>
      </c>
      <c r="AO56" s="6">
        <f t="shared" si="32"/>
        <v>1.0000000000000002</v>
      </c>
      <c r="AP56" s="7">
        <f t="shared" si="33"/>
        <v>0.74606420237187299</v>
      </c>
      <c r="AQ56" s="7">
        <f t="shared" si="34"/>
        <v>0</v>
      </c>
      <c r="AR56" s="24"/>
      <c r="AS56">
        <f t="shared" si="35"/>
        <v>2009</v>
      </c>
      <c r="AT56" s="1" t="b">
        <f t="shared" si="36"/>
        <v>1</v>
      </c>
      <c r="AV56" s="1" t="b">
        <f t="shared" si="60"/>
        <v>1</v>
      </c>
      <c r="AW56" s="1" t="b">
        <f t="shared" si="61"/>
        <v>1</v>
      </c>
      <c r="AY56" s="1" t="b">
        <f t="shared" si="46"/>
        <v>1</v>
      </c>
      <c r="AZ56" s="1" t="b">
        <f t="shared" si="38"/>
        <v>1</v>
      </c>
      <c r="BA56" s="1" t="b">
        <f t="shared" si="39"/>
        <v>1</v>
      </c>
      <c r="BC56">
        <f t="shared" si="40"/>
        <v>2009</v>
      </c>
      <c r="BD56" s="2">
        <f t="shared" si="41"/>
        <v>38086.446349195525</v>
      </c>
      <c r="BE56" s="2"/>
      <c r="BF56" s="2">
        <f t="shared" si="62"/>
        <v>42368.525690653012</v>
      </c>
      <c r="BG56" s="2">
        <f t="shared" si="63"/>
        <v>19860.471844482399</v>
      </c>
      <c r="BH56" s="2"/>
      <c r="BI56" s="2">
        <f>X56</f>
        <v>41279.602396580449</v>
      </c>
      <c r="BJ56" s="2">
        <f>Y56</f>
        <v>48194.312102395517</v>
      </c>
      <c r="BK56" s="2">
        <f t="shared" si="43"/>
        <v>189789.35838330688</v>
      </c>
      <c r="BL56" s="2">
        <f t="shared" si="44"/>
        <v>0</v>
      </c>
      <c r="BM56" s="2"/>
    </row>
    <row r="57" spans="1:65" x14ac:dyDescent="0.25">
      <c r="A57">
        <f t="shared" si="8"/>
        <v>2010</v>
      </c>
      <c r="B57" s="2">
        <f t="shared" si="48"/>
        <v>43765.135499860575</v>
      </c>
      <c r="C57" s="2"/>
      <c r="D57" s="2">
        <f t="shared" si="55"/>
        <v>53155.552331493265</v>
      </c>
      <c r="E57" s="2">
        <f t="shared" si="56"/>
        <v>25365.794639772921</v>
      </c>
      <c r="F57" s="2"/>
      <c r="G57" s="2">
        <f t="shared" si="47"/>
        <v>45869.894183080192</v>
      </c>
      <c r="H57" s="2">
        <f t="shared" si="15"/>
        <v>51288.386939369309</v>
      </c>
      <c r="I57" s="2">
        <f t="shared" si="45"/>
        <v>219444.76359357627</v>
      </c>
      <c r="J57" s="2">
        <f t="shared" si="16"/>
        <v>22811.917295350926</v>
      </c>
      <c r="K57" s="6">
        <f t="shared" si="17"/>
        <v>0.11601275028462429</v>
      </c>
      <c r="L57" s="7">
        <f t="shared" si="18"/>
        <v>1.1160127502846242</v>
      </c>
      <c r="N57">
        <f t="shared" si="19"/>
        <v>2010</v>
      </c>
      <c r="O57" s="2">
        <f t="shared" si="20"/>
        <v>7035.1055765361771</v>
      </c>
      <c r="P57" s="2"/>
      <c r="Q57" s="2"/>
      <c r="R57">
        <f t="shared" si="21"/>
        <v>2010</v>
      </c>
      <c r="S57" s="2">
        <f t="shared" si="57"/>
        <v>42358.114384553337</v>
      </c>
      <c r="T57" s="2"/>
      <c r="U57" s="2">
        <f t="shared" si="58"/>
        <v>51748.531216186027</v>
      </c>
      <c r="V57" s="2">
        <f t="shared" si="58"/>
        <v>23958.773524465687</v>
      </c>
      <c r="W57" s="2"/>
      <c r="X57" s="2">
        <f t="shared" si="59"/>
        <v>44462.873067772955</v>
      </c>
      <c r="Y57" s="2">
        <f t="shared" si="59"/>
        <v>49881.365824062072</v>
      </c>
      <c r="Z57" s="2">
        <f t="shared" si="24"/>
        <v>212409.65801704006</v>
      </c>
      <c r="AA57" s="2">
        <f t="shared" ref="AA57:AA64" si="66">Z57-Z56</f>
        <v>22620.299633733172</v>
      </c>
      <c r="AB57" s="6">
        <f t="shared" ref="AB57:AB64" si="67">(AA57/Z56)</f>
        <v>0.11918634335676621</v>
      </c>
      <c r="AC57" s="7">
        <f t="shared" si="27"/>
        <v>1.1191863433567661</v>
      </c>
      <c r="AD57" s="2">
        <f t="shared" si="28"/>
        <v>0</v>
      </c>
      <c r="AE57" s="2"/>
      <c r="AG57">
        <f t="shared" si="29"/>
        <v>2010</v>
      </c>
      <c r="AH57" s="6">
        <f t="shared" si="49"/>
        <v>0.19941708291416418</v>
      </c>
      <c r="AI57" s="7"/>
      <c r="AJ57" s="6">
        <f t="shared" si="50"/>
        <v>0.24362607472412873</v>
      </c>
      <c r="AK57" s="6">
        <f t="shared" si="51"/>
        <v>0.11279512310378868</v>
      </c>
      <c r="AL57" s="7"/>
      <c r="AM57" s="6">
        <f t="shared" ref="AM57:AM64" si="68">X57/$Z57</f>
        <v>0.20932604234128577</v>
      </c>
      <c r="AN57" s="6">
        <f t="shared" si="31"/>
        <v>0.23483567691663276</v>
      </c>
      <c r="AO57" s="6">
        <f t="shared" si="32"/>
        <v>1</v>
      </c>
      <c r="AP57" s="7">
        <f t="shared" si="33"/>
        <v>0.76516432308336735</v>
      </c>
      <c r="AQ57" s="7">
        <f t="shared" si="34"/>
        <v>0</v>
      </c>
      <c r="AR57" s="24"/>
      <c r="AS57">
        <f t="shared" si="35"/>
        <v>2010</v>
      </c>
      <c r="AT57" s="1" t="b">
        <f t="shared" si="36"/>
        <v>1</v>
      </c>
      <c r="AV57" s="1" t="b">
        <f t="shared" si="60"/>
        <v>1</v>
      </c>
      <c r="AW57" s="1" t="b">
        <f t="shared" si="61"/>
        <v>1</v>
      </c>
      <c r="AY57" s="1" t="b">
        <f t="shared" ref="AY57:AY64" si="69">AND((X57/$Z57)&gt;0.15,(X57/$Z57)&lt;0.25)</f>
        <v>1</v>
      </c>
      <c r="AZ57" s="1" t="b">
        <f t="shared" si="38"/>
        <v>0</v>
      </c>
      <c r="BA57" s="1" t="b">
        <f t="shared" si="39"/>
        <v>1</v>
      </c>
      <c r="BC57">
        <f t="shared" si="40"/>
        <v>2010</v>
      </c>
      <c r="BD57" s="2">
        <f t="shared" si="41"/>
        <v>42358.114384553337</v>
      </c>
      <c r="BE57" s="2"/>
      <c r="BF57" s="2">
        <f t="shared" si="62"/>
        <v>51748.531216186027</v>
      </c>
      <c r="BG57" s="2">
        <f t="shared" si="63"/>
        <v>23958.773524465687</v>
      </c>
      <c r="BH57" s="2"/>
      <c r="BI57" s="2">
        <f>X57</f>
        <v>44462.873067772955</v>
      </c>
      <c r="BJ57" s="2">
        <f>Y57</f>
        <v>49881.365824062072</v>
      </c>
      <c r="BK57" s="2">
        <f t="shared" si="43"/>
        <v>212409.65801704006</v>
      </c>
      <c r="BL57" s="2">
        <f t="shared" si="44"/>
        <v>0</v>
      </c>
      <c r="BM57" s="2"/>
    </row>
    <row r="58" spans="1:65" x14ac:dyDescent="0.25">
      <c r="A58">
        <f t="shared" si="8"/>
        <v>2011</v>
      </c>
      <c r="B58" s="2">
        <f t="shared" si="48"/>
        <v>43192.569237929041</v>
      </c>
      <c r="C58" s="2"/>
      <c r="D58" s="2">
        <f t="shared" si="55"/>
        <v>50656.637207524502</v>
      </c>
      <c r="E58" s="2">
        <f t="shared" si="56"/>
        <v>23287.927865780646</v>
      </c>
      <c r="F58" s="2"/>
      <c r="G58" s="2">
        <f t="shared" si="47"/>
        <v>37989.078749105218</v>
      </c>
      <c r="H58" s="2">
        <f t="shared" si="15"/>
        <v>53652.397080361166</v>
      </c>
      <c r="I58" s="2">
        <f t="shared" si="45"/>
        <v>208778.61014070056</v>
      </c>
      <c r="J58" s="2">
        <f t="shared" si="16"/>
        <v>-10666.153452875704</v>
      </c>
      <c r="K58" s="6">
        <f t="shared" si="17"/>
        <v>-4.8605185551977924E-2</v>
      </c>
      <c r="L58" s="7">
        <f t="shared" si="18"/>
        <v>0.9513948144480221</v>
      </c>
      <c r="N58">
        <f t="shared" si="19"/>
        <v>2011</v>
      </c>
      <c r="O58" s="2">
        <f t="shared" si="20"/>
        <v>7133.5970546076833</v>
      </c>
      <c r="P58" s="2"/>
      <c r="Q58" s="2"/>
      <c r="R58">
        <f t="shared" si="21"/>
        <v>2011</v>
      </c>
      <c r="S58" s="2">
        <f t="shared" si="57"/>
        <v>41765.849827007507</v>
      </c>
      <c r="T58" s="2"/>
      <c r="U58" s="2">
        <f t="shared" si="58"/>
        <v>49229.917796602967</v>
      </c>
      <c r="V58" s="2">
        <f t="shared" si="58"/>
        <v>21861.208454859108</v>
      </c>
      <c r="W58" s="2"/>
      <c r="X58" s="2">
        <f t="shared" si="59"/>
        <v>36562.359338183684</v>
      </c>
      <c r="Y58" s="2">
        <f t="shared" si="59"/>
        <v>52225.677669439632</v>
      </c>
      <c r="Z58" s="2">
        <f t="shared" si="24"/>
        <v>201645.01308609289</v>
      </c>
      <c r="AA58" s="2">
        <f t="shared" si="66"/>
        <v>-10764.644930947165</v>
      </c>
      <c r="AB58" s="6">
        <f t="shared" si="67"/>
        <v>-5.0678698094243892E-2</v>
      </c>
      <c r="AC58" s="7">
        <f t="shared" si="27"/>
        <v>0.94932130190575614</v>
      </c>
      <c r="AD58" s="2">
        <f t="shared" si="28"/>
        <v>0</v>
      </c>
      <c r="AE58" s="2"/>
      <c r="AG58">
        <f t="shared" si="29"/>
        <v>2011</v>
      </c>
      <c r="AH58" s="6">
        <f t="shared" si="49"/>
        <v>0.20712562729818398</v>
      </c>
      <c r="AI58" s="7"/>
      <c r="AJ58" s="6">
        <f t="shared" si="50"/>
        <v>0.24414150909640459</v>
      </c>
      <c r="AK58" s="6">
        <f t="shared" si="51"/>
        <v>0.10841432733833792</v>
      </c>
      <c r="AL58" s="7"/>
      <c r="AM58" s="38">
        <f t="shared" si="68"/>
        <v>0.1813204243368681</v>
      </c>
      <c r="AN58" s="38">
        <f t="shared" si="31"/>
        <v>0.25899811193020544</v>
      </c>
      <c r="AO58" s="6">
        <f t="shared" si="32"/>
        <v>1</v>
      </c>
      <c r="AP58" s="7">
        <f t="shared" si="33"/>
        <v>0.74100188806979461</v>
      </c>
      <c r="AQ58" s="7">
        <f t="shared" si="34"/>
        <v>0</v>
      </c>
      <c r="AR58" s="24"/>
      <c r="AS58">
        <f t="shared" si="35"/>
        <v>2011</v>
      </c>
      <c r="AT58" s="1" t="b">
        <f t="shared" si="36"/>
        <v>1</v>
      </c>
      <c r="AV58" s="1" t="b">
        <f t="shared" si="60"/>
        <v>1</v>
      </c>
      <c r="AW58" s="1" t="b">
        <f t="shared" si="61"/>
        <v>1</v>
      </c>
      <c r="AY58" s="39" t="b">
        <f t="shared" si="69"/>
        <v>1</v>
      </c>
      <c r="AZ58" s="39" t="b">
        <f t="shared" si="38"/>
        <v>1</v>
      </c>
      <c r="BA58" s="1" t="b">
        <f t="shared" si="39"/>
        <v>1</v>
      </c>
      <c r="BC58">
        <f t="shared" si="40"/>
        <v>2011</v>
      </c>
      <c r="BD58" s="27">
        <f>$BK58*BD$39</f>
        <v>40329.002617218583</v>
      </c>
      <c r="BE58" s="2"/>
      <c r="BF58" s="27">
        <f t="shared" ref="BF58:BG62" si="70">$BK58*BF$39</f>
        <v>40329.002617218583</v>
      </c>
      <c r="BG58" s="27">
        <f t="shared" si="70"/>
        <v>20164.501308609291</v>
      </c>
      <c r="BH58" s="2"/>
      <c r="BI58" s="27">
        <f>$BK58*BI$39</f>
        <v>40329.002617218583</v>
      </c>
      <c r="BJ58" s="27">
        <f t="shared" ref="BJ58:BJ62" si="71">$BK58*BJ$39</f>
        <v>60493.503925827863</v>
      </c>
      <c r="BK58" s="2">
        <f t="shared" si="43"/>
        <v>201645.01308609289</v>
      </c>
      <c r="BL58" s="2">
        <f t="shared" si="44"/>
        <v>0</v>
      </c>
      <c r="BM58" s="2"/>
    </row>
    <row r="59" spans="1:65" x14ac:dyDescent="0.25">
      <c r="A59">
        <f t="shared" si="8"/>
        <v>2012</v>
      </c>
      <c r="B59" s="2">
        <f t="shared" si="48"/>
        <v>46709.050831262561</v>
      </c>
      <c r="C59" s="2"/>
      <c r="D59" s="2">
        <f t="shared" si="55"/>
        <v>46700.985030739117</v>
      </c>
      <c r="E59" s="2">
        <f t="shared" si="56"/>
        <v>23802.177344682408</v>
      </c>
      <c r="F59" s="2"/>
      <c r="G59" s="2">
        <f t="shared" si="47"/>
        <v>47644.683691982034</v>
      </c>
      <c r="H59" s="2">
        <f t="shared" si="15"/>
        <v>62943.49083482389</v>
      </c>
      <c r="I59" s="2">
        <f t="shared" si="45"/>
        <v>227800.38773349</v>
      </c>
      <c r="J59" s="2">
        <f t="shared" si="16"/>
        <v>19021.77759278944</v>
      </c>
      <c r="K59" s="6">
        <f t="shared" si="17"/>
        <v>9.1109800855414452E-2</v>
      </c>
      <c r="L59" s="7">
        <f t="shared" si="18"/>
        <v>1.0911098008554145</v>
      </c>
      <c r="N59">
        <f t="shared" si="19"/>
        <v>2012</v>
      </c>
      <c r="O59" s="2">
        <f t="shared" si="20"/>
        <v>7347.6049662459136</v>
      </c>
      <c r="P59" s="2"/>
      <c r="Q59" s="2"/>
      <c r="R59">
        <f t="shared" si="21"/>
        <v>2012</v>
      </c>
      <c r="S59" s="2">
        <f t="shared" si="57"/>
        <v>45239.529838013375</v>
      </c>
      <c r="T59" s="2"/>
      <c r="U59" s="2">
        <f t="shared" si="58"/>
        <v>45231.464037489932</v>
      </c>
      <c r="V59" s="2">
        <f t="shared" si="58"/>
        <v>22332.656351433227</v>
      </c>
      <c r="W59" s="2"/>
      <c r="X59" s="2">
        <f t="shared" si="59"/>
        <v>46175.162698732849</v>
      </c>
      <c r="Y59" s="2">
        <f t="shared" si="59"/>
        <v>61473.969841574704</v>
      </c>
      <c r="Z59" s="2">
        <f t="shared" si="24"/>
        <v>220452.78276724406</v>
      </c>
      <c r="AA59" s="2">
        <f t="shared" si="66"/>
        <v>18807.769681151171</v>
      </c>
      <c r="AB59" s="6">
        <f t="shared" si="67"/>
        <v>9.3271682712634904E-2</v>
      </c>
      <c r="AC59" s="7">
        <f t="shared" si="27"/>
        <v>1.093271682712635</v>
      </c>
      <c r="AD59" s="2">
        <f t="shared" si="28"/>
        <v>0</v>
      </c>
      <c r="AE59" s="2"/>
      <c r="AG59">
        <f t="shared" si="29"/>
        <v>2012</v>
      </c>
      <c r="AH59" s="6">
        <f t="shared" si="49"/>
        <v>0.20521187925206488</v>
      </c>
      <c r="AI59" s="7"/>
      <c r="AJ59" s="6">
        <f t="shared" si="50"/>
        <v>0.20517529182312794</v>
      </c>
      <c r="AK59" s="6">
        <f t="shared" si="51"/>
        <v>0.10130358107120034</v>
      </c>
      <c r="AL59" s="7"/>
      <c r="AM59" s="6">
        <f t="shared" si="68"/>
        <v>0.20945602100874808</v>
      </c>
      <c r="AN59" s="6">
        <f t="shared" si="31"/>
        <v>0.27885322684485886</v>
      </c>
      <c r="AO59" s="6">
        <f t="shared" si="32"/>
        <v>1</v>
      </c>
      <c r="AP59" s="7">
        <f t="shared" si="33"/>
        <v>0.7211467731551412</v>
      </c>
      <c r="AQ59" s="7">
        <f t="shared" si="34"/>
        <v>0</v>
      </c>
      <c r="AR59" s="24"/>
      <c r="AS59">
        <f t="shared" si="35"/>
        <v>2012</v>
      </c>
      <c r="AT59" s="1" t="b">
        <f t="shared" si="36"/>
        <v>1</v>
      </c>
      <c r="AV59" s="1" t="b">
        <f t="shared" si="60"/>
        <v>1</v>
      </c>
      <c r="AW59" s="1" t="b">
        <f t="shared" si="61"/>
        <v>1</v>
      </c>
      <c r="AY59" s="1" t="b">
        <f t="shared" si="69"/>
        <v>1</v>
      </c>
      <c r="AZ59" s="1" t="b">
        <f t="shared" si="38"/>
        <v>1</v>
      </c>
      <c r="BA59" s="1" t="b">
        <f t="shared" si="39"/>
        <v>1</v>
      </c>
      <c r="BC59">
        <f t="shared" si="40"/>
        <v>2012</v>
      </c>
      <c r="BD59" s="2">
        <f t="shared" si="41"/>
        <v>45239.529838013375</v>
      </c>
      <c r="BE59" s="2"/>
      <c r="BF59" s="2">
        <f t="shared" si="62"/>
        <v>45231.464037489932</v>
      </c>
      <c r="BG59" s="2">
        <f t="shared" si="63"/>
        <v>22332.656351433227</v>
      </c>
      <c r="BH59" s="2"/>
      <c r="BI59" s="2">
        <f>X59</f>
        <v>46175.162698732849</v>
      </c>
      <c r="BJ59" s="2">
        <f>Y59</f>
        <v>61473.969841574704</v>
      </c>
      <c r="BK59" s="2">
        <f t="shared" si="43"/>
        <v>220452.78276724406</v>
      </c>
      <c r="BL59" s="2">
        <f t="shared" si="44"/>
        <v>0</v>
      </c>
      <c r="BM59" s="2"/>
    </row>
    <row r="60" spans="1:65" x14ac:dyDescent="0.25">
      <c r="A60">
        <f t="shared" si="8"/>
        <v>2013</v>
      </c>
      <c r="B60" s="2">
        <f t="shared" si="48"/>
        <v>59797.610539886082</v>
      </c>
      <c r="C60" s="2"/>
      <c r="D60" s="2">
        <f t="shared" si="55"/>
        <v>61062.476450611415</v>
      </c>
      <c r="E60" s="2">
        <f t="shared" si="56"/>
        <v>30734.201670842402</v>
      </c>
      <c r="F60" s="2"/>
      <c r="G60" s="2">
        <f t="shared" si="47"/>
        <v>53119.907168622267</v>
      </c>
      <c r="H60" s="2">
        <f t="shared" si="15"/>
        <v>60084.658123155117</v>
      </c>
      <c r="I60" s="2">
        <f t="shared" si="45"/>
        <v>264798.85395311727</v>
      </c>
      <c r="J60" s="2">
        <f t="shared" si="16"/>
        <v>36998.466219627269</v>
      </c>
      <c r="K60" s="6">
        <f t="shared" si="17"/>
        <v>0.16241616876839035</v>
      </c>
      <c r="L60" s="7">
        <f t="shared" si="18"/>
        <v>1.1624161687683903</v>
      </c>
      <c r="N60">
        <f t="shared" si="19"/>
        <v>2013</v>
      </c>
      <c r="O60" s="2">
        <f t="shared" si="20"/>
        <v>7479.8618556383399</v>
      </c>
      <c r="P60" s="2"/>
      <c r="Q60" s="2"/>
      <c r="R60">
        <f t="shared" si="21"/>
        <v>2013</v>
      </c>
      <c r="S60" s="2">
        <f t="shared" si="57"/>
        <v>58301.638168758414</v>
      </c>
      <c r="T60" s="2"/>
      <c r="U60" s="2">
        <f t="shared" si="58"/>
        <v>59566.504079483748</v>
      </c>
      <c r="V60" s="2">
        <f t="shared" si="58"/>
        <v>29238.229299714734</v>
      </c>
      <c r="W60" s="2"/>
      <c r="X60" s="2">
        <f t="shared" si="59"/>
        <v>51623.934797494599</v>
      </c>
      <c r="Y60" s="2">
        <f t="shared" si="59"/>
        <v>58588.68575202745</v>
      </c>
      <c r="Z60" s="2">
        <f t="shared" si="24"/>
        <v>257318.99209747894</v>
      </c>
      <c r="AA60" s="2">
        <f t="shared" si="66"/>
        <v>36866.20933023488</v>
      </c>
      <c r="AB60" s="6">
        <f t="shared" si="67"/>
        <v>0.1672295031501532</v>
      </c>
      <c r="AC60" s="7">
        <f t="shared" si="27"/>
        <v>1.1672295031501532</v>
      </c>
      <c r="AD60" s="2">
        <f t="shared" si="28"/>
        <v>0</v>
      </c>
      <c r="AE60" s="2"/>
      <c r="AG60">
        <f t="shared" si="29"/>
        <v>2013</v>
      </c>
      <c r="AH60" s="6">
        <f t="shared" si="49"/>
        <v>0.22657339706457533</v>
      </c>
      <c r="AI60" s="7"/>
      <c r="AJ60" s="6">
        <f t="shared" si="50"/>
        <v>0.23148895304594716</v>
      </c>
      <c r="AK60" s="6">
        <f t="shared" si="51"/>
        <v>0.11362639446620619</v>
      </c>
      <c r="AL60" s="7"/>
      <c r="AM60" s="6">
        <f t="shared" si="68"/>
        <v>0.20062232630671173</v>
      </c>
      <c r="AN60" s="38">
        <f t="shared" si="31"/>
        <v>0.22768892911655964</v>
      </c>
      <c r="AO60" s="6">
        <f t="shared" si="32"/>
        <v>1</v>
      </c>
      <c r="AP60" s="7">
        <f t="shared" si="33"/>
        <v>0.77231107088344042</v>
      </c>
      <c r="AQ60" s="7">
        <f t="shared" si="34"/>
        <v>0</v>
      </c>
      <c r="AR60" s="24"/>
      <c r="AS60">
        <f t="shared" si="35"/>
        <v>2013</v>
      </c>
      <c r="AT60" s="1" t="b">
        <f t="shared" si="36"/>
        <v>1</v>
      </c>
      <c r="AV60" s="1" t="b">
        <f t="shared" si="60"/>
        <v>1</v>
      </c>
      <c r="AW60" s="1" t="b">
        <f t="shared" si="61"/>
        <v>1</v>
      </c>
      <c r="AY60" s="1" t="b">
        <f t="shared" si="69"/>
        <v>1</v>
      </c>
      <c r="AZ60" s="39" t="b">
        <f t="shared" si="38"/>
        <v>0</v>
      </c>
      <c r="BA60" s="1" t="b">
        <f t="shared" si="39"/>
        <v>1</v>
      </c>
      <c r="BC60">
        <f t="shared" si="40"/>
        <v>2013</v>
      </c>
      <c r="BD60" s="27">
        <f>$BK60*BD$39</f>
        <v>51463.79841949579</v>
      </c>
      <c r="BE60" s="2"/>
      <c r="BF60" s="27">
        <f t="shared" si="70"/>
        <v>51463.79841949579</v>
      </c>
      <c r="BG60" s="27">
        <f t="shared" si="70"/>
        <v>25731.899209747895</v>
      </c>
      <c r="BH60" s="2"/>
      <c r="BI60" s="27">
        <f>$BK60*BI$39</f>
        <v>51463.79841949579</v>
      </c>
      <c r="BJ60" s="27">
        <f t="shared" si="71"/>
        <v>77195.697629243674</v>
      </c>
      <c r="BK60" s="2">
        <f t="shared" si="43"/>
        <v>257318.99209747894</v>
      </c>
      <c r="BL60" s="2">
        <f t="shared" si="44"/>
        <v>0</v>
      </c>
      <c r="BM60" s="2"/>
    </row>
    <row r="61" spans="1:65" x14ac:dyDescent="0.25">
      <c r="A61">
        <f t="shared" si="8"/>
        <v>2014</v>
      </c>
      <c r="B61" s="2">
        <f t="shared" si="48"/>
        <v>58416.557585969669</v>
      </c>
      <c r="C61" s="2"/>
      <c r="D61" s="2">
        <f t="shared" si="55"/>
        <v>58462.875004547226</v>
      </c>
      <c r="E61" s="2">
        <f t="shared" si="56"/>
        <v>27628.340181506319</v>
      </c>
      <c r="F61" s="2"/>
      <c r="G61" s="2">
        <f t="shared" si="47"/>
        <v>49281.733366509172</v>
      </c>
      <c r="H61" s="2">
        <f t="shared" si="15"/>
        <v>81642.169812688124</v>
      </c>
      <c r="I61" s="2">
        <f t="shared" si="45"/>
        <v>275431.6759512205</v>
      </c>
      <c r="J61" s="2">
        <f t="shared" si="16"/>
        <v>10632.821998103231</v>
      </c>
      <c r="K61" s="6">
        <f t="shared" si="17"/>
        <v>4.0154335411080655E-2</v>
      </c>
      <c r="L61" s="7">
        <f t="shared" si="18"/>
        <v>1.0401543354110807</v>
      </c>
      <c r="N61">
        <f t="shared" si="19"/>
        <v>2014</v>
      </c>
      <c r="O61" s="2">
        <f t="shared" si="20"/>
        <v>7566.298518813901</v>
      </c>
      <c r="P61" s="2"/>
      <c r="Q61" s="2"/>
      <c r="R61">
        <f t="shared" si="21"/>
        <v>2014</v>
      </c>
      <c r="S61" s="2">
        <f t="shared" si="57"/>
        <v>56903.297882206891</v>
      </c>
      <c r="T61" s="2"/>
      <c r="U61" s="2">
        <f t="shared" si="58"/>
        <v>56949.615300784448</v>
      </c>
      <c r="V61" s="2">
        <f t="shared" si="58"/>
        <v>26115.080477743541</v>
      </c>
      <c r="W61" s="2"/>
      <c r="X61" s="2">
        <f t="shared" si="59"/>
        <v>47768.473662746394</v>
      </c>
      <c r="Y61" s="2">
        <f t="shared" si="59"/>
        <v>80128.910108925338</v>
      </c>
      <c r="Z61" s="2">
        <f t="shared" si="24"/>
        <v>267865.37743240665</v>
      </c>
      <c r="AA61" s="2">
        <f t="shared" si="66"/>
        <v>10546.385334927705</v>
      </c>
      <c r="AB61" s="6">
        <f t="shared" si="67"/>
        <v>4.098564683842873E-2</v>
      </c>
      <c r="AC61" s="7">
        <f t="shared" si="27"/>
        <v>1.0409856468384286</v>
      </c>
      <c r="AD61" s="2">
        <f t="shared" si="28"/>
        <v>0</v>
      </c>
      <c r="AE61" s="2"/>
      <c r="AG61">
        <f t="shared" si="29"/>
        <v>2014</v>
      </c>
      <c r="AH61" s="6">
        <f t="shared" si="49"/>
        <v>0.21243244807390574</v>
      </c>
      <c r="AI61" s="7"/>
      <c r="AJ61" s="6">
        <f t="shared" si="50"/>
        <v>0.21260536112083075</v>
      </c>
      <c r="AK61" s="6">
        <f t="shared" si="51"/>
        <v>9.7493303270720158E-2</v>
      </c>
      <c r="AL61" s="7"/>
      <c r="AM61" s="6">
        <f t="shared" si="68"/>
        <v>0.17833015270814656</v>
      </c>
      <c r="AN61" s="6">
        <f t="shared" si="31"/>
        <v>0.29913873482639664</v>
      </c>
      <c r="AO61" s="6">
        <f t="shared" si="32"/>
        <v>0.99999999999999989</v>
      </c>
      <c r="AP61" s="7">
        <f t="shared" si="33"/>
        <v>0.70086126517360325</v>
      </c>
      <c r="AQ61" s="7">
        <f t="shared" si="34"/>
        <v>0</v>
      </c>
      <c r="AR61" s="24"/>
      <c r="AS61">
        <f t="shared" si="35"/>
        <v>2014</v>
      </c>
      <c r="AT61" s="1" t="b">
        <f t="shared" si="36"/>
        <v>1</v>
      </c>
      <c r="AV61" s="1" t="b">
        <f t="shared" si="60"/>
        <v>1</v>
      </c>
      <c r="AW61" s="1" t="b">
        <f t="shared" si="61"/>
        <v>1</v>
      </c>
      <c r="AY61" s="1" t="b">
        <f t="shared" si="69"/>
        <v>1</v>
      </c>
      <c r="AZ61" s="1" t="b">
        <f t="shared" si="38"/>
        <v>1</v>
      </c>
      <c r="BA61" s="1" t="b">
        <f t="shared" si="39"/>
        <v>1</v>
      </c>
      <c r="BC61">
        <f t="shared" si="40"/>
        <v>2014</v>
      </c>
      <c r="BD61" s="2">
        <f t="shared" si="41"/>
        <v>56903.297882206891</v>
      </c>
      <c r="BE61" s="2"/>
      <c r="BF61" s="2">
        <f t="shared" si="62"/>
        <v>56949.615300784448</v>
      </c>
      <c r="BG61" s="2">
        <f t="shared" si="63"/>
        <v>26115.080477743541</v>
      </c>
      <c r="BH61" s="2"/>
      <c r="BI61" s="2">
        <f>X61</f>
        <v>47768.473662746394</v>
      </c>
      <c r="BJ61" s="2">
        <f>Y61</f>
        <v>80128.910108925338</v>
      </c>
      <c r="BK61" s="2">
        <f t="shared" si="43"/>
        <v>267865.37743240665</v>
      </c>
      <c r="BL61" s="2">
        <f t="shared" si="44"/>
        <v>0</v>
      </c>
      <c r="BM61" s="2"/>
    </row>
    <row r="62" spans="1:65" x14ac:dyDescent="0.25">
      <c r="A62">
        <f t="shared" si="8"/>
        <v>2015</v>
      </c>
      <c r="B62" s="2">
        <f t="shared" si="48"/>
        <v>57614.589105734478</v>
      </c>
      <c r="C62" s="2"/>
      <c r="D62" s="2">
        <f t="shared" si="55"/>
        <v>56118.150917392995</v>
      </c>
      <c r="E62" s="2">
        <f t="shared" si="56"/>
        <v>25127.930435684833</v>
      </c>
      <c r="F62" s="2"/>
      <c r="G62" s="2">
        <f t="shared" si="47"/>
        <v>45680.991363684378</v>
      </c>
      <c r="H62" s="2">
        <f t="shared" si="15"/>
        <v>80369.2968392521</v>
      </c>
      <c r="I62" s="2">
        <f t="shared" si="45"/>
        <v>264910.95866174879</v>
      </c>
      <c r="J62" s="2">
        <f t="shared" si="16"/>
        <v>-10520.717289471708</v>
      </c>
      <c r="K62" s="6">
        <f t="shared" si="17"/>
        <v>-3.8197194469872624E-2</v>
      </c>
      <c r="L62" s="7">
        <f t="shared" si="18"/>
        <v>0.96180280553012742</v>
      </c>
      <c r="N62">
        <f t="shared" si="19"/>
        <v>2015</v>
      </c>
      <c r="O62" s="2">
        <f t="shared" si="20"/>
        <v>7663.9037697065996</v>
      </c>
      <c r="P62" s="2"/>
      <c r="Q62" s="2"/>
      <c r="R62">
        <f t="shared" si="21"/>
        <v>2015</v>
      </c>
      <c r="S62" s="2">
        <f t="shared" si="57"/>
        <v>56081.808351793159</v>
      </c>
      <c r="T62" s="2"/>
      <c r="U62" s="2">
        <f t="shared" si="58"/>
        <v>54585.370163451676</v>
      </c>
      <c r="V62" s="2">
        <f t="shared" si="58"/>
        <v>23595.149681743515</v>
      </c>
      <c r="W62" s="2"/>
      <c r="X62" s="2">
        <f t="shared" si="59"/>
        <v>44148.210609743059</v>
      </c>
      <c r="Y62" s="2">
        <f t="shared" si="59"/>
        <v>78836.516085310781</v>
      </c>
      <c r="Z62" s="2">
        <f t="shared" si="24"/>
        <v>257247.05489204219</v>
      </c>
      <c r="AA62" s="2">
        <f t="shared" si="66"/>
        <v>-10618.322540364461</v>
      </c>
      <c r="AB62" s="6">
        <f t="shared" si="67"/>
        <v>-3.9640518838773391E-2</v>
      </c>
      <c r="AC62" s="7">
        <f t="shared" si="27"/>
        <v>0.9603594811612266</v>
      </c>
      <c r="AD62" s="2">
        <f t="shared" si="28"/>
        <v>0</v>
      </c>
      <c r="AE62" s="2"/>
      <c r="AG62">
        <f t="shared" si="29"/>
        <v>2015</v>
      </c>
      <c r="AH62" s="6">
        <f t="shared" si="49"/>
        <v>0.21800758175959986</v>
      </c>
      <c r="AI62" s="7"/>
      <c r="AJ62" s="6">
        <f t="shared" si="50"/>
        <v>0.21219045709331558</v>
      </c>
      <c r="AK62" s="6">
        <f t="shared" si="51"/>
        <v>9.1721748541088624E-2</v>
      </c>
      <c r="AL62" s="7"/>
      <c r="AM62" s="6">
        <f t="shared" si="68"/>
        <v>0.17161794380219653</v>
      </c>
      <c r="AN62" s="38">
        <f t="shared" si="31"/>
        <v>0.30646226880379945</v>
      </c>
      <c r="AO62" s="6">
        <f t="shared" si="32"/>
        <v>1</v>
      </c>
      <c r="AP62" s="7">
        <f t="shared" si="33"/>
        <v>0.69353773119620055</v>
      </c>
      <c r="AQ62" s="7">
        <f t="shared" si="34"/>
        <v>0</v>
      </c>
      <c r="AR62" s="24"/>
      <c r="AS62">
        <f t="shared" si="35"/>
        <v>2015</v>
      </c>
      <c r="AT62" s="1" t="b">
        <f t="shared" si="36"/>
        <v>1</v>
      </c>
      <c r="AV62" s="1" t="b">
        <f t="shared" si="60"/>
        <v>1</v>
      </c>
      <c r="AW62" s="1" t="b">
        <f t="shared" si="61"/>
        <v>1</v>
      </c>
      <c r="AY62" s="1" t="b">
        <f t="shared" si="69"/>
        <v>1</v>
      </c>
      <c r="AZ62" s="39" t="b">
        <f t="shared" si="38"/>
        <v>1</v>
      </c>
      <c r="BA62" s="1" t="b">
        <f t="shared" si="39"/>
        <v>1</v>
      </c>
      <c r="BC62">
        <f t="shared" si="40"/>
        <v>2015</v>
      </c>
      <c r="BD62" s="27">
        <f>$BK62*BD$39</f>
        <v>51449.410978408443</v>
      </c>
      <c r="BE62" s="2"/>
      <c r="BF62" s="27">
        <f t="shared" si="70"/>
        <v>51449.410978408443</v>
      </c>
      <c r="BG62" s="27">
        <f t="shared" si="70"/>
        <v>25724.705489204222</v>
      </c>
      <c r="BH62" s="2"/>
      <c r="BI62" s="27">
        <f>$BK62*BI$39</f>
        <v>51449.410978408443</v>
      </c>
      <c r="BJ62" s="27">
        <f t="shared" si="71"/>
        <v>77174.11646761265</v>
      </c>
      <c r="BK62" s="2">
        <f t="shared" si="43"/>
        <v>257247.05489204219</v>
      </c>
      <c r="BL62" s="2">
        <f t="shared" si="44"/>
        <v>0</v>
      </c>
      <c r="BM62" s="2"/>
    </row>
    <row r="63" spans="1:65" x14ac:dyDescent="0.25">
      <c r="A63">
        <f t="shared" si="8"/>
        <v>2016</v>
      </c>
      <c r="B63" s="2">
        <f t="shared" si="48"/>
        <v>57530.731356056327</v>
      </c>
      <c r="C63" s="2"/>
      <c r="D63" s="2">
        <f t="shared" si="55"/>
        <v>57144.860773718261</v>
      </c>
      <c r="E63" s="2">
        <f t="shared" si="56"/>
        <v>30398.88447659263</v>
      </c>
      <c r="F63" s="2"/>
      <c r="G63" s="2">
        <f t="shared" si="47"/>
        <v>53841.808588904438</v>
      </c>
      <c r="H63" s="2">
        <f t="shared" si="15"/>
        <v>79103.469379302958</v>
      </c>
      <c r="I63" s="2">
        <f t="shared" si="45"/>
        <v>278019.75457457465</v>
      </c>
      <c r="J63" s="2">
        <f t="shared" si="16"/>
        <v>13108.795912825852</v>
      </c>
      <c r="K63" s="6">
        <f t="shared" si="17"/>
        <v>4.94837811883947E-2</v>
      </c>
      <c r="L63" s="7">
        <f t="shared" si="18"/>
        <v>1.0494837811883948</v>
      </c>
      <c r="N63">
        <f t="shared" si="19"/>
        <v>2016</v>
      </c>
      <c r="O63" s="2">
        <f t="shared" si="20"/>
        <v>7697.6249462933083</v>
      </c>
      <c r="P63" s="2"/>
      <c r="Q63" s="2"/>
      <c r="R63">
        <f t="shared" si="21"/>
        <v>2016</v>
      </c>
      <c r="S63" s="2">
        <f t="shared" si="57"/>
        <v>55991.206366797662</v>
      </c>
      <c r="T63" s="2"/>
      <c r="U63" s="2">
        <f t="shared" si="58"/>
        <v>55605.335784459603</v>
      </c>
      <c r="V63" s="2">
        <f t="shared" si="58"/>
        <v>28859.359487333968</v>
      </c>
      <c r="W63" s="2"/>
      <c r="X63" s="2">
        <f t="shared" si="59"/>
        <v>52302.283599645772</v>
      </c>
      <c r="Y63" s="2">
        <f t="shared" si="59"/>
        <v>77563.9443900443</v>
      </c>
      <c r="Z63" s="2">
        <f t="shared" si="24"/>
        <v>270322.12962828128</v>
      </c>
      <c r="AA63" s="2">
        <f t="shared" si="66"/>
        <v>13075.074736239098</v>
      </c>
      <c r="AB63" s="6">
        <f t="shared" si="67"/>
        <v>5.082691711174793E-2</v>
      </c>
      <c r="AC63" s="7">
        <f t="shared" si="27"/>
        <v>1.0508269171117479</v>
      </c>
      <c r="AD63" s="2">
        <f t="shared" si="28"/>
        <v>0</v>
      </c>
      <c r="AE63" s="2"/>
      <c r="AG63">
        <f t="shared" si="29"/>
        <v>2016</v>
      </c>
      <c r="AH63" s="6">
        <f t="shared" si="49"/>
        <v>0.2071277199679912</v>
      </c>
      <c r="AI63" s="7"/>
      <c r="AJ63" s="6">
        <f t="shared" si="50"/>
        <v>0.20570027271138416</v>
      </c>
      <c r="AK63" s="6">
        <f t="shared" si="51"/>
        <v>0.10675914519842804</v>
      </c>
      <c r="AL63" s="7"/>
      <c r="AM63" s="6">
        <f t="shared" si="68"/>
        <v>0.19348132419482786</v>
      </c>
      <c r="AN63" s="6">
        <f t="shared" si="31"/>
        <v>0.28693153792736881</v>
      </c>
      <c r="AO63" s="6">
        <f t="shared" si="32"/>
        <v>1</v>
      </c>
      <c r="AP63" s="7">
        <f t="shared" si="33"/>
        <v>0.7130684620726313</v>
      </c>
      <c r="AQ63" s="7">
        <f t="shared" si="34"/>
        <v>0</v>
      </c>
      <c r="AR63" s="24"/>
      <c r="AS63">
        <f t="shared" si="35"/>
        <v>2016</v>
      </c>
      <c r="AT63" s="1" t="b">
        <f t="shared" si="36"/>
        <v>1</v>
      </c>
      <c r="AV63" s="1" t="b">
        <f t="shared" si="60"/>
        <v>1</v>
      </c>
      <c r="AW63" s="1" t="b">
        <f t="shared" si="61"/>
        <v>1</v>
      </c>
      <c r="AY63" s="1" t="b">
        <f t="shared" si="69"/>
        <v>1</v>
      </c>
      <c r="AZ63" s="1" t="b">
        <f t="shared" si="38"/>
        <v>1</v>
      </c>
      <c r="BA63" s="1" t="b">
        <f t="shared" si="39"/>
        <v>1</v>
      </c>
      <c r="BC63">
        <f t="shared" si="40"/>
        <v>2016</v>
      </c>
      <c r="BD63" s="2">
        <f t="shared" si="41"/>
        <v>55991.206366797662</v>
      </c>
      <c r="BE63" s="2"/>
      <c r="BF63" s="2">
        <f t="shared" si="62"/>
        <v>55605.335784459603</v>
      </c>
      <c r="BG63" s="2">
        <f t="shared" si="63"/>
        <v>28859.359487333968</v>
      </c>
      <c r="BH63" s="2"/>
      <c r="BI63" s="2">
        <f>X63</f>
        <v>52302.283599645772</v>
      </c>
      <c r="BJ63" s="2">
        <f t="shared" ref="BJ63:BJ64" si="72">Y63</f>
        <v>77563.9443900443</v>
      </c>
      <c r="BK63" s="2">
        <f t="shared" si="43"/>
        <v>270322.12962828128</v>
      </c>
      <c r="BL63" s="2">
        <f t="shared" si="44"/>
        <v>0</v>
      </c>
      <c r="BM63" s="2"/>
    </row>
    <row r="64" spans="1:65" x14ac:dyDescent="0.25">
      <c r="A64">
        <f t="shared" si="8"/>
        <v>2017</v>
      </c>
      <c r="B64" s="2">
        <f t="shared" si="48"/>
        <v>68124.500786482706</v>
      </c>
      <c r="C64" s="2"/>
      <c r="D64" s="2">
        <f t="shared" si="55"/>
        <v>66503.981598213679</v>
      </c>
      <c r="E64" s="2">
        <f t="shared" si="56"/>
        <v>33505.716364794738</v>
      </c>
      <c r="F64" s="2"/>
      <c r="G64" s="2">
        <f t="shared" si="47"/>
        <v>66633.109305948718</v>
      </c>
      <c r="H64" s="2">
        <f t="shared" si="15"/>
        <v>80247.656865939833</v>
      </c>
      <c r="I64" s="2">
        <f t="shared" si="45"/>
        <v>315014.96492137964</v>
      </c>
      <c r="J64" s="2">
        <f t="shared" si="16"/>
        <v>36995.21034680499</v>
      </c>
      <c r="K64" s="6">
        <f t="shared" si="17"/>
        <v>0.13306684053230317</v>
      </c>
      <c r="L64" s="7">
        <f t="shared" si="18"/>
        <v>1.1330668405323032</v>
      </c>
      <c r="N64">
        <f t="shared" si="19"/>
        <v>2017</v>
      </c>
      <c r="O64" s="2">
        <f t="shared" si="20"/>
        <v>7828.4845703802939</v>
      </c>
      <c r="P64" s="2"/>
      <c r="Q64" s="2"/>
      <c r="R64">
        <f t="shared" si="21"/>
        <v>2017</v>
      </c>
      <c r="S64" s="2">
        <f t="shared" si="57"/>
        <v>66558.803872406643</v>
      </c>
      <c r="T64" s="2"/>
      <c r="U64" s="2">
        <f t="shared" si="58"/>
        <v>64938.284684137623</v>
      </c>
      <c r="V64" s="2">
        <f t="shared" si="58"/>
        <v>31940.019450718679</v>
      </c>
      <c r="W64" s="2"/>
      <c r="X64" s="2">
        <f t="shared" si="59"/>
        <v>65067.412391872662</v>
      </c>
      <c r="Y64" s="2">
        <f t="shared" si="59"/>
        <v>78681.95995186377</v>
      </c>
      <c r="Z64" s="2">
        <f t="shared" si="24"/>
        <v>307186.48035099939</v>
      </c>
      <c r="AA64" s="2">
        <f t="shared" si="66"/>
        <v>36864.350722718111</v>
      </c>
      <c r="AB64" s="6">
        <f t="shared" si="67"/>
        <v>0.13637193067918676</v>
      </c>
      <c r="AC64" s="7">
        <f t="shared" si="27"/>
        <v>1.1363719306791868</v>
      </c>
      <c r="AD64" s="2">
        <f t="shared" si="28"/>
        <v>0</v>
      </c>
      <c r="AE64" s="2"/>
      <c r="AG64">
        <f t="shared" si="29"/>
        <v>2017</v>
      </c>
      <c r="AH64" s="6">
        <f t="shared" si="49"/>
        <v>0.21667230861317463</v>
      </c>
      <c r="AI64" s="7"/>
      <c r="AJ64" s="6">
        <f t="shared" si="50"/>
        <v>0.21139694888244243</v>
      </c>
      <c r="AK64" s="6">
        <f t="shared" si="51"/>
        <v>0.10397599339080017</v>
      </c>
      <c r="AL64" s="7"/>
      <c r="AM64" s="6">
        <f t="shared" si="68"/>
        <v>0.21181730497229212</v>
      </c>
      <c r="AN64" s="6">
        <f t="shared" si="31"/>
        <v>0.25613744414129058</v>
      </c>
      <c r="AO64" s="6">
        <f t="shared" si="32"/>
        <v>1</v>
      </c>
      <c r="AP64" s="7">
        <f t="shared" si="33"/>
        <v>0.74386255585870942</v>
      </c>
      <c r="AQ64" s="7">
        <f t="shared" si="34"/>
        <v>0</v>
      </c>
      <c r="AR64" s="24"/>
      <c r="AS64">
        <f t="shared" si="35"/>
        <v>2017</v>
      </c>
      <c r="AT64" s="1" t="b">
        <f t="shared" si="36"/>
        <v>1</v>
      </c>
      <c r="AV64" s="1" t="b">
        <f t="shared" si="60"/>
        <v>1</v>
      </c>
      <c r="AW64" s="1" t="b">
        <f t="shared" si="61"/>
        <v>1</v>
      </c>
      <c r="AY64" s="1" t="b">
        <f t="shared" si="69"/>
        <v>1</v>
      </c>
      <c r="AZ64" s="1" t="b">
        <f t="shared" si="38"/>
        <v>1</v>
      </c>
      <c r="BA64" s="1" t="b">
        <f t="shared" si="39"/>
        <v>1</v>
      </c>
      <c r="BC64">
        <f t="shared" si="40"/>
        <v>2017</v>
      </c>
      <c r="BD64" s="2">
        <f t="shared" si="41"/>
        <v>66558.803872406643</v>
      </c>
      <c r="BE64" s="2"/>
      <c r="BF64" s="2">
        <f t="shared" si="62"/>
        <v>64938.284684137623</v>
      </c>
      <c r="BG64" s="2">
        <f t="shared" si="63"/>
        <v>31940.019450718679</v>
      </c>
      <c r="BH64" s="2"/>
      <c r="BI64" s="2">
        <f>X64</f>
        <v>65067.412391872662</v>
      </c>
      <c r="BJ64" s="2">
        <f t="shared" si="72"/>
        <v>78681.95995186377</v>
      </c>
      <c r="BK64" s="2">
        <f t="shared" si="43"/>
        <v>307186.48035099939</v>
      </c>
      <c r="BL64" s="2">
        <f t="shared" si="44"/>
        <v>0</v>
      </c>
      <c r="BM64" s="2"/>
    </row>
    <row r="65" spans="1:65" x14ac:dyDescent="0.25">
      <c r="A65">
        <f t="shared" si="8"/>
        <v>2017</v>
      </c>
      <c r="B65" s="2">
        <f t="shared" si="48"/>
        <v>80982.096671557156</v>
      </c>
      <c r="C65" s="2"/>
      <c r="D65" s="2">
        <f t="shared" si="55"/>
        <v>77666.188482228594</v>
      </c>
      <c r="E65" s="2">
        <f t="shared" si="56"/>
        <v>37082.36258228439</v>
      </c>
      <c r="F65" s="2"/>
      <c r="G65" s="2">
        <f t="shared" si="47"/>
        <v>82895.883387245776</v>
      </c>
      <c r="H65" s="2">
        <f t="shared" si="15"/>
        <v>81404.355766198249</v>
      </c>
      <c r="I65" s="2">
        <f t="shared" ref="I65:I66" si="73">SUM(B65:H65)</f>
        <v>360030.88688951416</v>
      </c>
      <c r="J65" s="2">
        <f t="shared" ref="J65:J66" si="74">I65-I64</f>
        <v>45015.921968134528</v>
      </c>
      <c r="K65" s="6">
        <f t="shared" ref="K65:K66" si="75">(J65/I64)</f>
        <v>0.14290089989651586</v>
      </c>
      <c r="L65" s="7">
        <f t="shared" ref="L65:L66" si="76">K65+1</f>
        <v>1.1429008998965158</v>
      </c>
      <c r="N65">
        <f t="shared" ref="N65:N66" si="77">A65</f>
        <v>2017</v>
      </c>
      <c r="O65" s="2">
        <f t="shared" si="20"/>
        <v>8003.0597762997741</v>
      </c>
      <c r="P65" s="2"/>
      <c r="Q65" s="2"/>
      <c r="R65">
        <f t="shared" ref="R65:R66" si="78">A65</f>
        <v>2017</v>
      </c>
      <c r="S65" s="2">
        <f t="shared" ref="S65:S66" si="79">B65-($O65/5)</f>
        <v>79381.4847162972</v>
      </c>
      <c r="T65" s="2"/>
      <c r="U65" s="2">
        <f t="shared" ref="U65:U66" si="80">D65-($O65/5)</f>
        <v>76065.576526968638</v>
      </c>
      <c r="V65" s="2">
        <f t="shared" ref="V65:V66" si="81">E65-($O65/5)</f>
        <v>35481.750627024434</v>
      </c>
      <c r="W65" s="2"/>
      <c r="X65" s="2">
        <f t="shared" ref="X65:X66" si="82">G65-($O65/5)</f>
        <v>81295.271431985821</v>
      </c>
      <c r="Y65" s="2">
        <f t="shared" ref="Y65:Y66" si="83">H65-($O65/5)</f>
        <v>79803.743810938293</v>
      </c>
      <c r="Z65" s="2">
        <f t="shared" ref="Z65:Z66" si="84">SUM(S65:Y65)</f>
        <v>352027.82711321441</v>
      </c>
      <c r="AA65" s="2">
        <f t="shared" ref="AA65:AA66" si="85">Z65-Z64</f>
        <v>44841.34676221502</v>
      </c>
      <c r="AB65" s="6">
        <f t="shared" ref="AB65:AB66" si="86">(AA65/Z64)</f>
        <v>0.14597434988342622</v>
      </c>
      <c r="AC65" s="7">
        <f t="shared" ref="AC65:AC66" si="87">AB65+1</f>
        <v>1.1459743498834263</v>
      </c>
      <c r="AD65" s="2">
        <f t="shared" ref="AD65:AD66" si="88">Z65-(I65-O65)</f>
        <v>0</v>
      </c>
      <c r="AE65" s="2"/>
      <c r="AG65">
        <f t="shared" ref="AG65" si="89">A65</f>
        <v>2017</v>
      </c>
      <c r="AH65" s="6">
        <f t="shared" ref="AH65" si="90">S65/$Z65</f>
        <v>0.22549775501346261</v>
      </c>
      <c r="AI65" s="7"/>
      <c r="AJ65" s="6">
        <f t="shared" ref="AJ65" si="91">U65/$Z65</f>
        <v>0.21607830594172164</v>
      </c>
      <c r="AK65" s="6">
        <f t="shared" ref="AK65" si="92">V65/$Z65</f>
        <v>0.1007924598404355</v>
      </c>
      <c r="AL65" s="7"/>
      <c r="AM65" s="6">
        <f t="shared" ref="AM65" si="93">X65/$Z65</f>
        <v>0.23093421931624949</v>
      </c>
      <c r="AN65" s="6">
        <f t="shared" ref="AN65" si="94">Y65/$Z65</f>
        <v>0.22669725988813064</v>
      </c>
      <c r="AO65" s="6">
        <f t="shared" ref="AO65" si="95">SUM(AH65:AN65)</f>
        <v>0.99999999999999978</v>
      </c>
      <c r="AP65" s="7">
        <f t="shared" ref="AP65" si="96">SUM(AH65:AM65)</f>
        <v>0.77330274011186917</v>
      </c>
      <c r="AQ65" s="7">
        <f t="shared" ref="AQ65" si="97">AO65-(AP65+AN65)</f>
        <v>0</v>
      </c>
      <c r="AR65" s="24"/>
      <c r="AS65">
        <f t="shared" ref="AS65:AS66" si="98">AG65</f>
        <v>2017</v>
      </c>
      <c r="AT65" s="1" t="b">
        <f t="shared" ref="AT65:AT66" si="99">AND((S65/$Z65)&gt;0.15,(S65/$Z65)&lt;0.25)</f>
        <v>1</v>
      </c>
      <c r="AV65" s="1" t="b">
        <f t="shared" ref="AV65:AV66" si="100">AND((U65/$Z65)&gt;0.15,(U65/$Z65)&lt;0.25)</f>
        <v>1</v>
      </c>
      <c r="AW65" s="1" t="b">
        <f t="shared" ref="AW65:AW66" si="101">AND((V65/$Z65)&gt;0.05,(V65/$Z65)&lt;0.15)</f>
        <v>1</v>
      </c>
      <c r="AY65" s="1" t="b">
        <f t="shared" ref="AY65:AY66" si="102">AND((X65/$Z65)&gt;0.15,(X65/$Z65)&lt;0.25)</f>
        <v>1</v>
      </c>
      <c r="AZ65" s="1" t="b">
        <f t="shared" ref="AZ65:AZ66" si="103">AND((Y65/$Z65)&gt;0.25,(Y65/$Z65)&lt;0.35)</f>
        <v>0</v>
      </c>
      <c r="BA65" s="1" t="b">
        <f t="shared" ref="BA65:BA66" si="104">AND((Z65/$Z65)&gt;0.999,(Z65/$Z65)&lt;1.01)</f>
        <v>1</v>
      </c>
      <c r="BC65">
        <f t="shared" ref="BC65:BC66" si="105">AS65</f>
        <v>2017</v>
      </c>
      <c r="BD65" s="2">
        <f t="shared" ref="BD65" si="106">S65</f>
        <v>79381.4847162972</v>
      </c>
      <c r="BE65" s="2"/>
      <c r="BF65" s="2">
        <f t="shared" ref="BF65" si="107">U65</f>
        <v>76065.576526968638</v>
      </c>
      <c r="BG65" s="2">
        <f t="shared" ref="BG65" si="108">V65</f>
        <v>35481.750627024434</v>
      </c>
      <c r="BH65" s="2"/>
      <c r="BI65" s="2">
        <f t="shared" ref="BI65" si="109">X65</f>
        <v>81295.271431985821</v>
      </c>
      <c r="BJ65" s="2">
        <f t="shared" ref="BJ65" si="110">Y65</f>
        <v>79803.743810938293</v>
      </c>
      <c r="BK65" s="2">
        <f t="shared" ref="BK65:BK66" si="111">Z65</f>
        <v>352027.82711321441</v>
      </c>
      <c r="BL65" s="2">
        <f t="shared" ref="BL65:BL66" si="112">SUM(BD65:BJ65)-Z65</f>
        <v>0</v>
      </c>
      <c r="BM65" s="2"/>
    </row>
    <row r="66" spans="1:65" x14ac:dyDescent="0.25">
      <c r="A66">
        <f t="shared" si="8"/>
        <v>2017</v>
      </c>
      <c r="B66" s="2">
        <f t="shared" si="48"/>
        <v>96583.452454318802</v>
      </c>
      <c r="C66" s="2"/>
      <c r="D66" s="2">
        <f t="shared" si="55"/>
        <v>90974.429526254491</v>
      </c>
      <c r="E66" s="2">
        <f t="shared" si="56"/>
        <v>41194.312477975371</v>
      </c>
      <c r="F66" s="2"/>
      <c r="G66" s="2">
        <f t="shared" si="47"/>
        <v>103570.17580434994</v>
      </c>
      <c r="H66" s="2">
        <f t="shared" si="15"/>
        <v>82564.953346796756</v>
      </c>
      <c r="I66" s="2">
        <f t="shared" si="73"/>
        <v>414887.32360969536</v>
      </c>
      <c r="J66" s="2">
        <f t="shared" si="74"/>
        <v>54856.436720181198</v>
      </c>
      <c r="K66" s="6">
        <f t="shared" si="75"/>
        <v>0.15236591836359717</v>
      </c>
      <c r="L66" s="7">
        <f t="shared" si="76"/>
        <v>1.1523659183635973</v>
      </c>
      <c r="N66">
        <f t="shared" si="77"/>
        <v>2017</v>
      </c>
      <c r="O66" s="2">
        <f t="shared" si="20"/>
        <v>8181.5280093112588</v>
      </c>
      <c r="P66" s="2"/>
      <c r="R66">
        <f t="shared" si="78"/>
        <v>2017</v>
      </c>
      <c r="S66" s="2">
        <f t="shared" si="79"/>
        <v>94947.146852456557</v>
      </c>
      <c r="T66" s="2"/>
      <c r="U66" s="2">
        <f t="shared" si="80"/>
        <v>89338.123924392246</v>
      </c>
      <c r="V66" s="2">
        <f t="shared" si="81"/>
        <v>39558.006876113119</v>
      </c>
      <c r="W66" s="2"/>
      <c r="X66" s="2">
        <f t="shared" si="82"/>
        <v>101933.8702024877</v>
      </c>
      <c r="Y66" s="2">
        <f t="shared" si="83"/>
        <v>80928.647744934511</v>
      </c>
      <c r="Z66" s="2">
        <f t="shared" si="84"/>
        <v>406705.79560038412</v>
      </c>
      <c r="AA66" s="2">
        <f t="shared" si="85"/>
        <v>54677.96848716971</v>
      </c>
      <c r="AB66" s="6">
        <f t="shared" si="86"/>
        <v>0.15532285880793431</v>
      </c>
      <c r="AC66" s="7">
        <f t="shared" si="87"/>
        <v>1.1553228588079343</v>
      </c>
      <c r="AD66" s="2">
        <f t="shared" si="88"/>
        <v>0</v>
      </c>
      <c r="AE66" s="2"/>
      <c r="AG66">
        <f t="shared" ref="AG66:AG67" si="113">A66</f>
        <v>2017</v>
      </c>
      <c r="AH66" s="6">
        <f t="shared" ref="AH66:AH67" si="114">S66/$Z66</f>
        <v>0.23345412797055032</v>
      </c>
      <c r="AI66" s="7"/>
      <c r="AJ66" s="6">
        <f t="shared" ref="AJ66:AJ67" si="115">U66/$Z66</f>
        <v>0.21966277562509332</v>
      </c>
      <c r="AK66" s="6">
        <f t="shared" ref="AK66:AK67" si="116">V66/$Z66</f>
        <v>9.7264428744412407E-2</v>
      </c>
      <c r="AL66" s="7"/>
      <c r="AM66" s="6">
        <f t="shared" ref="AM66:AM67" si="117">X66/$Z66</f>
        <v>0.25063294230172367</v>
      </c>
      <c r="AN66" s="6">
        <f t="shared" ref="AN66:AN67" si="118">Y66/$Z66</f>
        <v>0.19898572535822029</v>
      </c>
      <c r="AO66" s="6">
        <f t="shared" ref="AO66:AO67" si="119">SUM(AH66:AN66)</f>
        <v>1</v>
      </c>
      <c r="AP66" s="7">
        <f t="shared" ref="AP66:AP67" si="120">SUM(AH66:AM66)</f>
        <v>0.80101427464177966</v>
      </c>
      <c r="AQ66" s="7">
        <f t="shared" ref="AQ66:AQ67" si="121">AO66-(AP66+AN66)</f>
        <v>0</v>
      </c>
      <c r="AR66" s="24"/>
      <c r="AS66">
        <f t="shared" si="98"/>
        <v>2017</v>
      </c>
      <c r="AT66" s="1" t="b">
        <f t="shared" si="99"/>
        <v>1</v>
      </c>
      <c r="AV66" s="1" t="b">
        <f t="shared" si="100"/>
        <v>1</v>
      </c>
      <c r="AW66" s="1" t="b">
        <f t="shared" si="101"/>
        <v>1</v>
      </c>
      <c r="AY66" s="1" t="b">
        <f t="shared" si="102"/>
        <v>0</v>
      </c>
      <c r="AZ66" s="39" t="b">
        <f t="shared" si="103"/>
        <v>0</v>
      </c>
      <c r="BA66" s="1" t="b">
        <f t="shared" si="104"/>
        <v>1</v>
      </c>
      <c r="BC66">
        <f t="shared" si="105"/>
        <v>2017</v>
      </c>
      <c r="BD66" s="27">
        <f>$BK66*BD$39</f>
        <v>81341.159120076831</v>
      </c>
      <c r="BE66" s="2"/>
      <c r="BF66" s="27">
        <f t="shared" ref="BF66:BG66" si="122">$BK66*BF$39</f>
        <v>81341.159120076831</v>
      </c>
      <c r="BG66" s="27">
        <f t="shared" si="122"/>
        <v>40670.579560038415</v>
      </c>
      <c r="BH66" s="2"/>
      <c r="BI66" s="27">
        <f>$BK66*BI$39</f>
        <v>81341.159120076831</v>
      </c>
      <c r="BJ66" s="27">
        <f t="shared" ref="BJ66" si="123">$BK66*BJ$39</f>
        <v>122011.73868011523</v>
      </c>
      <c r="BK66" s="2">
        <f t="shared" si="111"/>
        <v>406705.79560038412</v>
      </c>
      <c r="BL66" s="2">
        <f t="shared" si="112"/>
        <v>0</v>
      </c>
      <c r="BM66" s="20"/>
    </row>
    <row r="67" spans="1:65" x14ac:dyDescent="0.25">
      <c r="A67">
        <f t="shared" si="8"/>
        <v>2017</v>
      </c>
      <c r="B67" s="2">
        <f t="shared" ref="B67" si="124">BD66*(1+(B31/100))</f>
        <v>98967.788301397464</v>
      </c>
      <c r="C67" s="2"/>
      <c r="D67" s="2">
        <f t="shared" ref="D67" si="125">BF66*(1+(D31/100))</f>
        <v>97284.026307611886</v>
      </c>
      <c r="E67" s="2">
        <f t="shared" ref="E67" si="126">BG66*(1+(E31/100))</f>
        <v>47218.542869204604</v>
      </c>
      <c r="F67" s="2"/>
      <c r="G67" s="2">
        <f t="shared" ref="G67" si="127">BI66*(1+(G31/100))</f>
        <v>103628.63671897788</v>
      </c>
      <c r="H67" s="2">
        <f t="shared" ref="H67" si="128">BJ66*(1+(H31/100))</f>
        <v>126233.34483844721</v>
      </c>
      <c r="I67" s="2">
        <f t="shared" ref="I67" si="129">SUM(B67:H67)</f>
        <v>473332.33903563907</v>
      </c>
      <c r="J67" s="2">
        <f t="shared" ref="J67" si="130">I67-I66</f>
        <v>58445.015425943711</v>
      </c>
      <c r="K67" s="6">
        <f t="shared" ref="K67" si="131">(J67/I66)</f>
        <v>0.14086960989178299</v>
      </c>
      <c r="L67" s="7">
        <f t="shared" ref="L67" si="132">K67+1</f>
        <v>1.140869609891783</v>
      </c>
      <c r="N67">
        <f t="shared" ref="N67" si="133">A67</f>
        <v>2017</v>
      </c>
      <c r="O67" s="2">
        <f t="shared" si="20"/>
        <v>8363.9760839189003</v>
      </c>
      <c r="P67" s="2"/>
      <c r="R67">
        <f t="shared" ref="R67" si="134">A67</f>
        <v>2017</v>
      </c>
      <c r="S67" s="2">
        <f t="shared" ref="S67" si="135">B67-($O67/5)</f>
        <v>97294.993084613685</v>
      </c>
      <c r="T67" s="2"/>
      <c r="U67" s="2">
        <f t="shared" ref="U67" si="136">D67-($O67/5)</f>
        <v>95611.231090828107</v>
      </c>
      <c r="V67" s="2">
        <f t="shared" ref="V67" si="137">E67-($O67/5)</f>
        <v>45545.747652420825</v>
      </c>
      <c r="W67" s="2"/>
      <c r="X67" s="2">
        <f t="shared" ref="X67" si="138">G67-($O67/5)</f>
        <v>101955.8415021941</v>
      </c>
      <c r="Y67" s="2">
        <f t="shared" ref="Y67" si="139">H67-($O67/5)</f>
        <v>124560.54962166343</v>
      </c>
      <c r="Z67" s="2">
        <f t="shared" ref="Z67" si="140">SUM(S67:Y67)</f>
        <v>464968.36295172013</v>
      </c>
      <c r="AA67" s="2">
        <f t="shared" ref="AA67" si="141">Z67-Z66</f>
        <v>58262.567351336009</v>
      </c>
      <c r="AB67" s="6">
        <f t="shared" ref="AB67" si="142">(AA67/Z66)</f>
        <v>0.14325482444952151</v>
      </c>
      <c r="AC67" s="7">
        <f t="shared" ref="AC67" si="143">AB67+1</f>
        <v>1.1432548244495215</v>
      </c>
      <c r="AD67" s="2">
        <f t="shared" ref="AD67" si="144">Z67-(I67-O67)</f>
        <v>0</v>
      </c>
      <c r="AE67" s="2"/>
      <c r="AG67">
        <f t="shared" si="113"/>
        <v>2017</v>
      </c>
      <c r="AH67" s="6">
        <f t="shared" si="114"/>
        <v>0.2092507809928485</v>
      </c>
      <c r="AI67" s="7"/>
      <c r="AJ67" s="6">
        <f t="shared" si="115"/>
        <v>0.20562954108074633</v>
      </c>
      <c r="AK67" s="6">
        <f t="shared" si="116"/>
        <v>9.7954508911717197E-2</v>
      </c>
      <c r="AL67" s="7"/>
      <c r="AM67" s="6">
        <f t="shared" si="117"/>
        <v>0.21927479292345028</v>
      </c>
      <c r="AN67" s="6">
        <f t="shared" si="118"/>
        <v>0.26789037609123773</v>
      </c>
      <c r="AO67" s="6">
        <f t="shared" si="119"/>
        <v>1</v>
      </c>
      <c r="AP67" s="7">
        <f t="shared" si="120"/>
        <v>0.73210962390876233</v>
      </c>
      <c r="AQ67" s="7">
        <f t="shared" si="121"/>
        <v>0</v>
      </c>
      <c r="AR67" s="24"/>
      <c r="AS67">
        <f t="shared" ref="AS67" si="145">AG67</f>
        <v>2017</v>
      </c>
      <c r="AT67" s="1" t="b">
        <f t="shared" ref="AT67" si="146">AND((S67/$Z67)&gt;0.15,(S67/$Z67)&lt;0.25)</f>
        <v>1</v>
      </c>
      <c r="AV67" s="1" t="b">
        <f t="shared" ref="AV67" si="147">AND((U67/$Z67)&gt;0.15,(U67/$Z67)&lt;0.25)</f>
        <v>1</v>
      </c>
      <c r="AW67" s="1" t="b">
        <f t="shared" ref="AW67" si="148">AND((V67/$Z67)&gt;0.05,(V67/$Z67)&lt;0.15)</f>
        <v>1</v>
      </c>
      <c r="AY67" s="1" t="b">
        <f t="shared" ref="AY67" si="149">AND((X67/$Z67)&gt;0.15,(X67/$Z67)&lt;0.25)</f>
        <v>1</v>
      </c>
      <c r="AZ67" s="1" t="b">
        <f t="shared" ref="AZ67" si="150">AND((Y67/$Z67)&gt;0.25,(Y67/$Z67)&lt;0.35)</f>
        <v>1</v>
      </c>
      <c r="BA67" s="1" t="b">
        <f t="shared" ref="BA67" si="151">AND((Z67/$Z67)&gt;0.999,(Z67/$Z67)&lt;1.01)</f>
        <v>1</v>
      </c>
      <c r="BC67">
        <f t="shared" ref="BC67" si="152">AS67</f>
        <v>2017</v>
      </c>
      <c r="BD67" s="2">
        <f t="shared" ref="BD67" si="153">S67</f>
        <v>97294.993084613685</v>
      </c>
      <c r="BE67" s="2"/>
      <c r="BF67" s="2">
        <f t="shared" ref="BF67" si="154">U67</f>
        <v>95611.231090828107</v>
      </c>
      <c r="BG67" s="2">
        <f t="shared" ref="BG67" si="155">V67</f>
        <v>45545.747652420825</v>
      </c>
      <c r="BH67" s="2"/>
      <c r="BI67" s="2">
        <f t="shared" ref="BI67" si="156">X67</f>
        <v>101955.8415021941</v>
      </c>
      <c r="BJ67" s="2">
        <f t="shared" ref="BJ67" si="157">Y67</f>
        <v>124560.54962166343</v>
      </c>
      <c r="BK67" s="2">
        <f t="shared" ref="BK67" si="158">Z67</f>
        <v>464968.36295172013</v>
      </c>
      <c r="BL67" s="2">
        <f t="shared" ref="BL67" si="159">SUM(BD67:BJ67)-Z67</f>
        <v>0</v>
      </c>
      <c r="BM67" s="20"/>
    </row>
    <row r="68" spans="1:65" x14ac:dyDescent="0.25">
      <c r="A68">
        <f t="shared" si="8"/>
        <v>2017</v>
      </c>
      <c r="B68" s="2">
        <f t="shared" ref="B68:B69" si="160">BD67*(1+(B32/100))</f>
        <v>118378.81808604946</v>
      </c>
      <c r="C68" s="2"/>
      <c r="D68" s="2">
        <f t="shared" ref="D68:D69" si="161">BF67*(1+(D32/100))</f>
        <v>114351.03238463041</v>
      </c>
      <c r="E68" s="2">
        <f t="shared" ref="E68:E69" si="162">BG67*(1+(E32/100))</f>
        <v>52878.613024460581</v>
      </c>
      <c r="F68" s="2"/>
      <c r="G68" s="2">
        <f t="shared" ref="G68:G69" si="163">BI67*(1+(G32/100))</f>
        <v>129891.74207379529</v>
      </c>
      <c r="H68" s="2">
        <f t="shared" ref="H68:H69" si="164">BJ67*(1+(H32/100))</f>
        <v>128870.34463857299</v>
      </c>
      <c r="I68" s="2">
        <f t="shared" ref="I68:I69" si="165">SUM(B68:H68)</f>
        <v>544370.55020750873</v>
      </c>
      <c r="J68" s="2">
        <f t="shared" ref="J68:J69" si="166">I68-I67</f>
        <v>71038.211171869654</v>
      </c>
      <c r="K68" s="6">
        <f t="shared" ref="K68:K69" si="167">(J68/I67)</f>
        <v>0.15008104309247483</v>
      </c>
      <c r="L68" s="7">
        <f t="shared" ref="L68:L69" si="168">K68+1</f>
        <v>1.1500810430924748</v>
      </c>
      <c r="N68">
        <f t="shared" ref="N68:N69" si="169">A68</f>
        <v>2017</v>
      </c>
      <c r="O68" s="2">
        <f t="shared" si="20"/>
        <v>8550.4927505902924</v>
      </c>
      <c r="P68" s="2"/>
      <c r="R68">
        <f t="shared" ref="R68:R69" si="170">A68</f>
        <v>2017</v>
      </c>
      <c r="S68" s="2">
        <f t="shared" ref="S68:S69" si="171">B68-($O68/5)</f>
        <v>116668.71953593141</v>
      </c>
      <c r="T68" s="2"/>
      <c r="U68" s="2">
        <f t="shared" ref="U68:U69" si="172">D68-($O68/5)</f>
        <v>112640.93383451235</v>
      </c>
      <c r="V68" s="2">
        <f t="shared" ref="V68:V69" si="173">E68-($O68/5)</f>
        <v>51168.514474342519</v>
      </c>
      <c r="W68" s="2"/>
      <c r="X68" s="2">
        <f t="shared" ref="X68:X69" si="174">G68-($O68/5)</f>
        <v>128181.64352367724</v>
      </c>
      <c r="Y68" s="2">
        <f t="shared" ref="Y68:Y69" si="175">H68-($O68/5)</f>
        <v>127160.24608845494</v>
      </c>
      <c r="Z68" s="2">
        <f t="shared" ref="Z68:Z69" si="176">SUM(S68:Y68)</f>
        <v>535820.05745691853</v>
      </c>
      <c r="AA68" s="2">
        <f t="shared" ref="AA68:AA69" si="177">Z68-Z67</f>
        <v>70851.694505198393</v>
      </c>
      <c r="AB68" s="6">
        <f t="shared" ref="AB68:AB69" si="178">(AA68/Z67)</f>
        <v>0.15237960289473557</v>
      </c>
      <c r="AC68" s="7">
        <f t="shared" ref="AC68:AC69" si="179">AB68+1</f>
        <v>1.1523796028947355</v>
      </c>
      <c r="AD68" s="2">
        <f t="shared" ref="AD68:AD69" si="180">Z68-(I68-O68)</f>
        <v>0</v>
      </c>
      <c r="AE68" s="2"/>
      <c r="AG68">
        <f t="shared" ref="AG68:AG69" si="181">A68</f>
        <v>2017</v>
      </c>
      <c r="AH68" s="6">
        <f t="shared" ref="AH68:AH69" si="182">S68/$Z68</f>
        <v>0.21773861935975009</v>
      </c>
      <c r="AI68" s="7"/>
      <c r="AJ68" s="6">
        <f t="shared" ref="AJ68:AJ69" si="183">U68/$Z68</f>
        <v>0.21022157022102334</v>
      </c>
      <c r="AK68" s="6">
        <f t="shared" ref="AK68:AK69" si="184">V68/$Z68</f>
        <v>9.5495705624003474E-2</v>
      </c>
      <c r="AL68" s="7"/>
      <c r="AM68" s="6">
        <f t="shared" ref="AM68:AM69" si="185">X68/$Z68</f>
        <v>0.23922516848668623</v>
      </c>
      <c r="AN68" s="6">
        <f t="shared" ref="AN68:AN69" si="186">Y68/$Z68</f>
        <v>0.23731893630853673</v>
      </c>
      <c r="AO68" s="6">
        <f t="shared" ref="AO68:AO69" si="187">SUM(AH68:AN68)</f>
        <v>0.99999999999999989</v>
      </c>
      <c r="AP68" s="7">
        <f t="shared" ref="AP68:AP69" si="188">SUM(AH68:AM68)</f>
        <v>0.76268106369146316</v>
      </c>
      <c r="AQ68" s="7">
        <f t="shared" ref="AQ68:AQ69" si="189">AO68-(AP68+AN68)</f>
        <v>0</v>
      </c>
      <c r="AR68" s="24"/>
      <c r="AS68">
        <f t="shared" ref="AS68:AS69" si="190">AG68</f>
        <v>2017</v>
      </c>
      <c r="AT68" s="1" t="b">
        <f t="shared" ref="AT68:AT69" si="191">AND((S68/$Z68)&gt;0.15,(S68/$Z68)&lt;0.25)</f>
        <v>1</v>
      </c>
      <c r="AV68" s="1" t="b">
        <f t="shared" ref="AV68:AV69" si="192">AND((U68/$Z68)&gt;0.15,(U68/$Z68)&lt;0.25)</f>
        <v>1</v>
      </c>
      <c r="AW68" s="1" t="b">
        <f t="shared" ref="AW68:AW69" si="193">AND((V68/$Z68)&gt;0.05,(V68/$Z68)&lt;0.15)</f>
        <v>1</v>
      </c>
      <c r="AY68" s="1" t="b">
        <f t="shared" ref="AY68:AY69" si="194">AND((X68/$Z68)&gt;0.15,(X68/$Z68)&lt;0.25)</f>
        <v>1</v>
      </c>
      <c r="AZ68" s="1" t="b">
        <f t="shared" ref="AZ68:AZ69" si="195">AND((Y68/$Z68)&gt;0.25,(Y68/$Z68)&lt;0.35)</f>
        <v>0</v>
      </c>
      <c r="BA68" s="1" t="b">
        <f t="shared" ref="BA68:BA69" si="196">AND((Z68/$Z68)&gt;0.999,(Z68/$Z68)&lt;1.01)</f>
        <v>1</v>
      </c>
      <c r="BC68">
        <f t="shared" ref="BC68:BC69" si="197">AS68</f>
        <v>2017</v>
      </c>
      <c r="BD68" s="2">
        <f t="shared" ref="BD68:BD69" si="198">S68</f>
        <v>116668.71953593141</v>
      </c>
      <c r="BE68" s="2"/>
      <c r="BF68" s="2">
        <f t="shared" ref="BF68:BF69" si="199">U68</f>
        <v>112640.93383451235</v>
      </c>
      <c r="BG68" s="2">
        <f t="shared" ref="BG68:BG69" si="200">V68</f>
        <v>51168.514474342519</v>
      </c>
      <c r="BH68" s="2"/>
      <c r="BI68" s="2">
        <f t="shared" ref="BI68:BI69" si="201">X68</f>
        <v>128181.64352367724</v>
      </c>
      <c r="BJ68" s="2">
        <f t="shared" ref="BJ68:BJ69" si="202">Y68</f>
        <v>127160.24608845494</v>
      </c>
      <c r="BK68" s="2">
        <f t="shared" ref="BK68:BK69" si="203">Z68</f>
        <v>535820.05745691853</v>
      </c>
      <c r="BL68" s="2">
        <f t="shared" ref="BL68:BL69" si="204">SUM(BD68:BJ68)-Z68</f>
        <v>0</v>
      </c>
      <c r="BM68" s="20"/>
    </row>
    <row r="69" spans="1:65" x14ac:dyDescent="0.25">
      <c r="A69">
        <f t="shared" si="8"/>
        <v>2017</v>
      </c>
      <c r="B69" s="2">
        <f t="shared" si="160"/>
        <v>141950.83105936772</v>
      </c>
      <c r="C69" s="2"/>
      <c r="D69" s="2">
        <f t="shared" si="161"/>
        <v>134718.55686607677</v>
      </c>
      <c r="E69" s="2">
        <f t="shared" si="162"/>
        <v>59406.645304711667</v>
      </c>
      <c r="F69" s="2"/>
      <c r="G69" s="2">
        <f t="shared" si="163"/>
        <v>163303.41384916479</v>
      </c>
      <c r="H69" s="2">
        <f t="shared" si="164"/>
        <v>131559.99060311547</v>
      </c>
      <c r="I69" s="2">
        <f t="shared" si="165"/>
        <v>630939.43768243643</v>
      </c>
      <c r="J69" s="2">
        <f t="shared" si="166"/>
        <v>86568.887474927702</v>
      </c>
      <c r="K69" s="6">
        <f t="shared" si="167"/>
        <v>0.15902566265189857</v>
      </c>
      <c r="L69" s="7">
        <f t="shared" si="168"/>
        <v>1.1590256626518987</v>
      </c>
      <c r="N69">
        <f t="shared" si="169"/>
        <v>2017</v>
      </c>
      <c r="O69" s="2">
        <f t="shared" si="20"/>
        <v>8741.1687389284562</v>
      </c>
      <c r="P69" s="2"/>
      <c r="R69">
        <f t="shared" si="170"/>
        <v>2017</v>
      </c>
      <c r="S69" s="2">
        <f t="shared" si="171"/>
        <v>140202.59731158204</v>
      </c>
      <c r="T69" s="2"/>
      <c r="U69" s="2">
        <f t="shared" si="172"/>
        <v>132970.3231182911</v>
      </c>
      <c r="V69" s="2">
        <f t="shared" si="173"/>
        <v>57658.411556925974</v>
      </c>
      <c r="W69" s="2"/>
      <c r="X69" s="2">
        <f t="shared" si="174"/>
        <v>161555.18010137911</v>
      </c>
      <c r="Y69" s="2">
        <f t="shared" si="175"/>
        <v>129811.75685532978</v>
      </c>
      <c r="Z69" s="2">
        <f t="shared" si="176"/>
        <v>622198.26894350804</v>
      </c>
      <c r="AA69" s="2">
        <f t="shared" si="177"/>
        <v>86378.211486589513</v>
      </c>
      <c r="AB69" s="6">
        <f t="shared" si="178"/>
        <v>0.16120749920514979</v>
      </c>
      <c r="AC69" s="7">
        <f t="shared" si="179"/>
        <v>1.1612074992051498</v>
      </c>
      <c r="AD69" s="2">
        <f t="shared" si="180"/>
        <v>0</v>
      </c>
      <c r="AE69" s="2"/>
      <c r="AG69">
        <f t="shared" si="181"/>
        <v>2017</v>
      </c>
      <c r="AH69" s="6">
        <f t="shared" si="182"/>
        <v>0.22533427736731876</v>
      </c>
      <c r="AI69" s="7"/>
      <c r="AJ69" s="6">
        <f t="shared" si="183"/>
        <v>0.21371053208501295</v>
      </c>
      <c r="AK69" s="6">
        <f t="shared" si="184"/>
        <v>9.2668871700382405E-2</v>
      </c>
      <c r="AL69" s="7"/>
      <c r="AM69" s="6">
        <f t="shared" si="185"/>
        <v>0.25965224939583909</v>
      </c>
      <c r="AN69" s="6">
        <f t="shared" si="186"/>
        <v>0.20863406945144672</v>
      </c>
      <c r="AO69" s="6">
        <f t="shared" si="187"/>
        <v>0.99999999999999989</v>
      </c>
      <c r="AP69" s="7">
        <f t="shared" si="188"/>
        <v>0.7913659305485532</v>
      </c>
      <c r="AQ69" s="7">
        <f t="shared" si="189"/>
        <v>0</v>
      </c>
      <c r="AR69" s="24"/>
      <c r="AS69">
        <f t="shared" si="190"/>
        <v>2017</v>
      </c>
      <c r="AT69" s="1" t="b">
        <f t="shared" si="191"/>
        <v>1</v>
      </c>
      <c r="AV69" s="1" t="b">
        <f t="shared" si="192"/>
        <v>1</v>
      </c>
      <c r="AW69" s="1" t="b">
        <f t="shared" si="193"/>
        <v>1</v>
      </c>
      <c r="AY69" s="1" t="b">
        <f t="shared" si="194"/>
        <v>0</v>
      </c>
      <c r="AZ69" s="1" t="b">
        <f t="shared" si="195"/>
        <v>0</v>
      </c>
      <c r="BA69" s="1" t="b">
        <f t="shared" si="196"/>
        <v>1</v>
      </c>
      <c r="BC69">
        <f t="shared" si="197"/>
        <v>2017</v>
      </c>
      <c r="BD69" s="2">
        <f t="shared" si="198"/>
        <v>140202.59731158204</v>
      </c>
      <c r="BE69" s="2"/>
      <c r="BF69" s="2">
        <f t="shared" si="199"/>
        <v>132970.3231182911</v>
      </c>
      <c r="BG69" s="2">
        <f t="shared" si="200"/>
        <v>57658.411556925974</v>
      </c>
      <c r="BH69" s="2"/>
      <c r="BI69" s="2">
        <f t="shared" si="201"/>
        <v>161555.18010137911</v>
      </c>
      <c r="BJ69" s="2">
        <f t="shared" si="202"/>
        <v>129811.75685532978</v>
      </c>
      <c r="BK69" s="2">
        <f t="shared" si="203"/>
        <v>622198.26894350804</v>
      </c>
      <c r="BL69" s="2">
        <f t="shared" si="204"/>
        <v>0</v>
      </c>
      <c r="BM69" s="20"/>
    </row>
    <row r="70" spans="1:65" x14ac:dyDescent="0.25">
      <c r="A70" s="9" t="s">
        <v>79</v>
      </c>
      <c r="B70" s="10">
        <f>BD69</f>
        <v>140202.59731158204</v>
      </c>
      <c r="C70" s="10"/>
      <c r="D70" s="10">
        <f>BF69</f>
        <v>132970.3231182911</v>
      </c>
      <c r="E70" s="10">
        <f>BG69</f>
        <v>57658.411556925974</v>
      </c>
      <c r="F70" s="10"/>
      <c r="G70" s="10">
        <f>BI69</f>
        <v>161555.18010137911</v>
      </c>
      <c r="H70" s="10">
        <f>BJ69</f>
        <v>129811.75685532978</v>
      </c>
      <c r="I70" s="10">
        <f>SUM(B70:H70)</f>
        <v>622198.26894350804</v>
      </c>
      <c r="J70" s="10"/>
      <c r="K70" s="10"/>
      <c r="L70" s="74"/>
      <c r="N70" t="s">
        <v>40</v>
      </c>
      <c r="O70" s="2">
        <f>O69</f>
        <v>8741.1687389284562</v>
      </c>
      <c r="P70" s="2"/>
      <c r="R70" s="9" t="s">
        <v>79</v>
      </c>
      <c r="S70" s="10">
        <f>S69</f>
        <v>140202.59731158204</v>
      </c>
      <c r="T70" s="10"/>
      <c r="U70" s="10">
        <f>U69</f>
        <v>132970.3231182911</v>
      </c>
      <c r="V70" s="10">
        <f>V69</f>
        <v>57658.411556925974</v>
      </c>
      <c r="W70" s="10"/>
      <c r="X70" s="10">
        <f>X69</f>
        <v>161555.18010137911</v>
      </c>
      <c r="Y70" s="10">
        <f>Y69</f>
        <v>129811.75685532978</v>
      </c>
      <c r="Z70" s="10">
        <f>SUM(S70:Y70)</f>
        <v>622198.26894350804</v>
      </c>
      <c r="AA70" s="10"/>
      <c r="AB70" s="10"/>
      <c r="AC70" s="74"/>
      <c r="AD70" s="10"/>
      <c r="AE70" s="43"/>
      <c r="AK70" s="7"/>
      <c r="BC70" s="21"/>
      <c r="BD70" s="22"/>
      <c r="BF70" s="22"/>
      <c r="BG70" s="22"/>
      <c r="BI70" s="22"/>
      <c r="BJ70" s="22"/>
    </row>
    <row r="71" spans="1:65" x14ac:dyDescent="0.25">
      <c r="A71" s="11" t="s">
        <v>11</v>
      </c>
      <c r="I71" s="6">
        <f>(Z70-Z39)/Z39</f>
        <v>5.2219826894350803</v>
      </c>
      <c r="K71" s="6"/>
      <c r="N71" t="s">
        <v>71</v>
      </c>
      <c r="O71" s="2">
        <f>SUM(O40:O69)</f>
        <v>198195.99869006357</v>
      </c>
      <c r="P71" s="2"/>
      <c r="AB71" s="6"/>
      <c r="AN71" s="80"/>
      <c r="BC71" s="21" t="s">
        <v>161</v>
      </c>
      <c r="BD71">
        <f>COUNTA(BD66,BD62,BD60,BD58,BD55,BD54,BD50,BD48,BD44)</f>
        <v>9</v>
      </c>
      <c r="BF71" s="22"/>
    </row>
    <row r="72" spans="1:65" x14ac:dyDescent="0.25">
      <c r="A72" s="1" t="s">
        <v>12</v>
      </c>
      <c r="I72" s="12">
        <f>STDEV(AC40:AC69)</f>
        <v>0.10550695584441699</v>
      </c>
    </row>
    <row r="73" spans="1:65" x14ac:dyDescent="0.25">
      <c r="A73" s="1" t="s">
        <v>13</v>
      </c>
      <c r="I73" s="13">
        <f>((1+I71)^(1/I80))-1</f>
        <v>6.2831196089768948E-2</v>
      </c>
    </row>
    <row r="74" spans="1:65" x14ac:dyDescent="0.25">
      <c r="A74" s="1" t="s">
        <v>83</v>
      </c>
      <c r="I74" s="31">
        <f>J60</f>
        <v>36998.466219627269</v>
      </c>
      <c r="O74" s="2"/>
      <c r="P74" s="2"/>
    </row>
    <row r="75" spans="1:65" x14ac:dyDescent="0.25">
      <c r="A75" s="1" t="s">
        <v>84</v>
      </c>
      <c r="I75" s="32">
        <f>K60</f>
        <v>0.16241616876839035</v>
      </c>
    </row>
    <row r="76" spans="1:65" x14ac:dyDescent="0.25">
      <c r="A76" s="1" t="s">
        <v>43</v>
      </c>
      <c r="I76" s="2">
        <f>O71</f>
        <v>198195.99869006357</v>
      </c>
    </row>
    <row r="77" spans="1:65" x14ac:dyDescent="0.25">
      <c r="A77" s="3" t="s">
        <v>5</v>
      </c>
      <c r="B77" s="3"/>
      <c r="C77" s="3"/>
      <c r="D77" s="3"/>
      <c r="E77" s="3"/>
      <c r="F77" s="3"/>
      <c r="G77" s="3"/>
      <c r="H77" s="3"/>
      <c r="I77" s="33">
        <f>I70-Z70</f>
        <v>0</v>
      </c>
      <c r="Z77" s="2"/>
    </row>
    <row r="78" spans="1:65" x14ac:dyDescent="0.25">
      <c r="A78" s="3" t="s">
        <v>149</v>
      </c>
      <c r="B78" s="3"/>
      <c r="C78" s="3"/>
      <c r="D78" s="3"/>
      <c r="E78" s="3"/>
      <c r="F78" s="3"/>
      <c r="G78" s="3"/>
      <c r="H78" s="3"/>
      <c r="I78" s="33">
        <f>((SUM(AA40:AA69)))-(I70-I39)</f>
        <v>0</v>
      </c>
    </row>
    <row r="79" spans="1:65" x14ac:dyDescent="0.25">
      <c r="A79" s="3" t="s">
        <v>148</v>
      </c>
      <c r="B79" s="3"/>
      <c r="C79" s="3"/>
      <c r="D79" s="3"/>
      <c r="E79" s="3"/>
      <c r="F79" s="3"/>
      <c r="G79" s="3"/>
      <c r="H79" s="3"/>
      <c r="I79" s="33">
        <f>(SUM(O40:O69))-I76</f>
        <v>0</v>
      </c>
      <c r="Z79" s="73"/>
    </row>
    <row r="80" spans="1:65" x14ac:dyDescent="0.25">
      <c r="A80" s="3" t="s">
        <v>160</v>
      </c>
      <c r="B80" s="3"/>
      <c r="C80" s="3"/>
      <c r="D80" s="3"/>
      <c r="E80" s="3"/>
      <c r="F80" s="3"/>
      <c r="G80" s="3"/>
      <c r="H80" s="3"/>
      <c r="I80" s="75">
        <f>COUNTA(I40:I69)</f>
        <v>30</v>
      </c>
    </row>
    <row r="81" spans="2:9" x14ac:dyDescent="0.25">
      <c r="B81" s="63"/>
      <c r="C81" s="63"/>
      <c r="D81" s="63"/>
      <c r="E81" s="63"/>
      <c r="G81" s="63"/>
      <c r="H81" s="63"/>
      <c r="I81" s="63"/>
    </row>
    <row r="82" spans="2:9" x14ac:dyDescent="0.25">
      <c r="B82" s="2"/>
      <c r="D82" s="2"/>
      <c r="E82" s="2"/>
      <c r="G82" s="2"/>
      <c r="H82" s="2"/>
      <c r="I82"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M82"/>
  <sheetViews>
    <sheetView topLeftCell="B45" zoomScaleNormal="100" workbookViewId="0">
      <pane xSplit="30000" topLeftCell="AV1"/>
      <selection activeCell="A30" sqref="A30"/>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25">
      <c r="A4" s="17">
        <f>'Non-Rebalanced Portfolio'!A4</f>
        <v>1993</v>
      </c>
      <c r="B4" s="17">
        <f>'Non-Rebalanced Portfolio'!B4</f>
        <v>9.89</v>
      </c>
      <c r="C4" s="19">
        <f>'Non-Rebalanced Portfolio'!C4</f>
        <v>14.49</v>
      </c>
      <c r="D4" s="17"/>
      <c r="E4" s="17"/>
      <c r="F4" s="17">
        <f>'Non-Rebalanced Portfolio'!F4</f>
        <v>30.494</v>
      </c>
      <c r="G4" s="17"/>
      <c r="H4" s="17">
        <f>'Non-Rebalanced Portfolio'!H4</f>
        <v>9.68</v>
      </c>
      <c r="N4" s="49">
        <f>'4% Withdrawals-No Rebalancing'!N4</f>
        <v>1993</v>
      </c>
      <c r="O4" s="50">
        <f>'4% Withdrawals-No Rebalancing'!O4</f>
        <v>0.03</v>
      </c>
      <c r="P4" s="44"/>
    </row>
    <row r="5" spans="1:16" x14ac:dyDescent="0.25">
      <c r="A5" s="17">
        <f>'Non-Rebalanced Portfolio'!A5</f>
        <v>1994</v>
      </c>
      <c r="B5" s="17">
        <f>'Non-Rebalanced Portfolio'!B5</f>
        <v>1.18</v>
      </c>
      <c r="C5" s="19">
        <f>'Non-Rebalanced Portfolio'!C5</f>
        <v>-1.764</v>
      </c>
      <c r="D5" s="17"/>
      <c r="E5" s="17"/>
      <c r="F5" s="17">
        <f>'Non-Rebalanced Portfolio'!F5</f>
        <v>5.2549999999999999</v>
      </c>
      <c r="G5" s="17"/>
      <c r="H5" s="17">
        <f>'Non-Rebalanced Portfolio'!H5</f>
        <v>-2.66</v>
      </c>
      <c r="N5" s="49">
        <f>'4% Withdrawals-No Rebalancing'!N5</f>
        <v>1994</v>
      </c>
      <c r="O5" s="50">
        <f>'4% Withdrawals-No Rebalancing'!O5</f>
        <v>2.8000000000000001E-2</v>
      </c>
      <c r="P5" s="44"/>
    </row>
    <row r="6" spans="1:16" x14ac:dyDescent="0.25">
      <c r="A6" s="17">
        <f>'Non-Rebalanced Portfolio'!A6</f>
        <v>1995</v>
      </c>
      <c r="B6" s="17">
        <f>'Non-Rebalanced Portfolio'!B6</f>
        <v>37.450000000000003</v>
      </c>
      <c r="C6" s="19">
        <f>'Non-Rebalanced Portfolio'!C6</f>
        <v>33.796999999999997</v>
      </c>
      <c r="D6" s="17"/>
      <c r="E6" s="17"/>
      <c r="F6" s="17">
        <f>'Non-Rebalanced Portfolio'!F6</f>
        <v>9.6460000000000008</v>
      </c>
      <c r="G6" s="17"/>
      <c r="H6" s="17">
        <f>'Non-Rebalanced Portfolio'!H6</f>
        <v>18.18</v>
      </c>
      <c r="N6" s="49">
        <f>'4% Withdrawals-No Rebalancing'!N6</f>
        <v>1995</v>
      </c>
      <c r="O6" s="50">
        <f>'4% Withdrawals-No Rebalancing'!O6</f>
        <v>2.5999999999999999E-2</v>
      </c>
      <c r="P6" s="44"/>
    </row>
    <row r="7" spans="1:16" x14ac:dyDescent="0.25">
      <c r="A7" s="17">
        <f>'Non-Rebalanced Portfolio'!A7</f>
        <v>1996</v>
      </c>
      <c r="B7" s="17">
        <f>'Non-Rebalanced Portfolio'!B7</f>
        <v>22.88</v>
      </c>
      <c r="C7" s="19">
        <f>'Non-Rebalanced Portfolio'!C7</f>
        <v>17.646999999999998</v>
      </c>
      <c r="D7" s="17"/>
      <c r="E7" s="17"/>
      <c r="F7" s="17">
        <f>'Non-Rebalanced Portfolio'!F7</f>
        <v>10.218999999999999</v>
      </c>
      <c r="G7" s="17"/>
      <c r="H7" s="17">
        <f>'Non-Rebalanced Portfolio'!H7</f>
        <v>3.58</v>
      </c>
      <c r="N7" s="49">
        <f>'4% Withdrawals-No Rebalancing'!N7</f>
        <v>1996</v>
      </c>
      <c r="O7" s="50">
        <f>'4% Withdrawals-No Rebalancing'!O7</f>
        <v>2.5000000000000001E-2</v>
      </c>
      <c r="P7" s="44"/>
    </row>
    <row r="8" spans="1:16" x14ac:dyDescent="0.25">
      <c r="A8" s="17">
        <f>'Non-Rebalanced Portfolio'!A8</f>
        <v>1997</v>
      </c>
      <c r="B8" s="17">
        <f>'Non-Rebalanced Portfolio'!B8</f>
        <v>33.19</v>
      </c>
      <c r="C8" s="19">
        <f>'Non-Rebalanced Portfolio'!C8</f>
        <v>26.687000000000001</v>
      </c>
      <c r="D8" s="17"/>
      <c r="E8" s="17"/>
      <c r="F8" s="17">
        <f>'Non-Rebalanced Portfolio'!F8</f>
        <v>0</v>
      </c>
      <c r="G8" s="17"/>
      <c r="H8" s="17">
        <f>'Non-Rebalanced Portfolio'!H8</f>
        <v>9.44</v>
      </c>
      <c r="N8" s="49">
        <f>'4% Withdrawals-No Rebalancing'!N8</f>
        <v>1997</v>
      </c>
      <c r="O8" s="50">
        <f>'4% Withdrawals-No Rebalancing'!O8</f>
        <v>3.4000000000000002E-2</v>
      </c>
      <c r="P8" s="44"/>
    </row>
    <row r="9" spans="1:16" x14ac:dyDescent="0.25">
      <c r="A9" s="17">
        <f>'Non-Rebalanced Portfolio'!A9</f>
        <v>1998</v>
      </c>
      <c r="B9" s="17">
        <f>'Non-Rebalanced Portfolio'!B9</f>
        <v>28.66</v>
      </c>
      <c r="C9" s="19">
        <f>'Non-Rebalanced Portfolio'!C9</f>
        <v>8.3529999999999998</v>
      </c>
      <c r="D9" s="17"/>
      <c r="E9" s="17"/>
      <c r="F9" s="17">
        <f>'Non-Rebalanced Portfolio'!F9</f>
        <v>0</v>
      </c>
      <c r="G9" s="17"/>
      <c r="H9" s="17">
        <f>'Non-Rebalanced Portfolio'!H9</f>
        <v>8.58</v>
      </c>
      <c r="N9" s="49">
        <f>'4% Withdrawals-No Rebalancing'!N9</f>
        <v>1998</v>
      </c>
      <c r="O9" s="50">
        <f>'4% Withdrawals-No Rebalancing'!O9</f>
        <v>1.7000000000000001E-2</v>
      </c>
      <c r="P9" s="44"/>
    </row>
    <row r="10" spans="1:16" x14ac:dyDescent="0.25">
      <c r="A10" s="17">
        <f>'Non-Rebalanced Portfolio'!A10</f>
        <v>1999</v>
      </c>
      <c r="B10" s="17">
        <f>'Non-Rebalanced Portfolio'!B10</f>
        <v>21.07</v>
      </c>
      <c r="C10" s="19">
        <f>'Non-Rebalanced Portfolio'!C10</f>
        <v>0</v>
      </c>
      <c r="D10" s="17"/>
      <c r="E10" s="17"/>
      <c r="F10" s="17">
        <f>'Non-Rebalanced Portfolio'!F10</f>
        <v>0</v>
      </c>
      <c r="G10" s="17"/>
      <c r="H10" s="17">
        <f>'Non-Rebalanced Portfolio'!H10</f>
        <v>-0.76</v>
      </c>
      <c r="N10" s="49">
        <f>'4% Withdrawals-No Rebalancing'!N10</f>
        <v>1999</v>
      </c>
      <c r="O10" s="50">
        <f>'4% Withdrawals-No Rebalancing'!O10</f>
        <v>1.6E-2</v>
      </c>
      <c r="P10" s="44"/>
    </row>
    <row r="11" spans="1:16" x14ac:dyDescent="0.25">
      <c r="A11" s="17">
        <f>'Non-Rebalanced Portfolio'!A11</f>
        <v>2000</v>
      </c>
      <c r="B11" s="17">
        <f>'Non-Rebalanced Portfolio'!B11</f>
        <v>-9.06</v>
      </c>
      <c r="C11" s="19">
        <f>'Non-Rebalanced Portfolio'!C11</f>
        <v>0</v>
      </c>
      <c r="D11" s="17"/>
      <c r="E11" s="17"/>
      <c r="F11" s="17">
        <f>'Non-Rebalanced Portfolio'!F11</f>
        <v>0</v>
      </c>
      <c r="G11" s="17"/>
      <c r="H11" s="17">
        <f>'Non-Rebalanced Portfolio'!H11</f>
        <v>11.39</v>
      </c>
      <c r="N11" s="49">
        <f>'4% Withdrawals-No Rebalancing'!N11</f>
        <v>2000</v>
      </c>
      <c r="O11" s="50">
        <f>'4% Withdrawals-No Rebalancing'!O11</f>
        <v>2.7E-2</v>
      </c>
      <c r="P11" s="44"/>
    </row>
    <row r="12" spans="1:16" x14ac:dyDescent="0.25">
      <c r="A12" s="17">
        <f>'Non-Rebalanced Portfolio'!A12</f>
        <v>2001</v>
      </c>
      <c r="B12" s="17">
        <f>'Non-Rebalanced Portfolio'!B12</f>
        <v>-12.02</v>
      </c>
      <c r="C12" s="19">
        <f>'Non-Rebalanced Portfolio'!C12</f>
        <v>0</v>
      </c>
      <c r="D12" s="17"/>
      <c r="E12" s="17"/>
      <c r="F12" s="17">
        <f>'Non-Rebalanced Portfolio'!F12</f>
        <v>0</v>
      </c>
      <c r="G12" s="17"/>
      <c r="H12" s="17">
        <f>'Non-Rebalanced Portfolio'!H12</f>
        <v>8.43</v>
      </c>
      <c r="N12" s="49">
        <f>'4% Withdrawals-No Rebalancing'!N12</f>
        <v>2001</v>
      </c>
      <c r="O12" s="50">
        <f>'4% Withdrawals-No Rebalancing'!O12</f>
        <v>3.4000000000000002E-2</v>
      </c>
      <c r="P12" s="44"/>
    </row>
    <row r="13" spans="1:16" x14ac:dyDescent="0.25">
      <c r="A13" s="17">
        <f>'Non-Rebalanced Portfolio'!A13</f>
        <v>2002</v>
      </c>
      <c r="B13" s="17">
        <f>'Non-Rebalanced Portfolio'!B13</f>
        <v>-22.15</v>
      </c>
      <c r="C13" s="19">
        <f>'Non-Rebalanced Portfolio'!C13</f>
        <v>0</v>
      </c>
      <c r="D13" s="17"/>
      <c r="E13" s="17"/>
      <c r="F13" s="17"/>
      <c r="G13" s="17">
        <f>'Non-Rebalanced Portfolio'!G13</f>
        <v>-15.083</v>
      </c>
      <c r="H13" s="17">
        <f>'Non-Rebalanced Portfolio'!H13</f>
        <v>8.26</v>
      </c>
      <c r="N13" s="49">
        <f>'4% Withdrawals-No Rebalancing'!N13</f>
        <v>2002</v>
      </c>
      <c r="O13" s="50">
        <f>'4% Withdrawals-No Rebalancing'!O13</f>
        <v>1.6E-2</v>
      </c>
      <c r="P13" s="44"/>
    </row>
    <row r="14" spans="1:16" x14ac:dyDescent="0.25">
      <c r="A14" s="17">
        <f>'Non-Rebalanced Portfolio'!A14</f>
        <v>2003</v>
      </c>
      <c r="B14" s="17">
        <f>'Non-Rebalanced Portfolio'!B14</f>
        <v>28.5</v>
      </c>
      <c r="C14" s="19">
        <f>'Non-Rebalanced Portfolio'!C14</f>
        <v>0</v>
      </c>
      <c r="D14" s="17"/>
      <c r="E14" s="17"/>
      <c r="F14" s="17"/>
      <c r="G14" s="17">
        <f>'Non-Rebalanced Portfolio'!G14</f>
        <v>40.340000000000003</v>
      </c>
      <c r="H14" s="17">
        <f>'Non-Rebalanced Portfolio'!H14</f>
        <v>3.97</v>
      </c>
      <c r="N14" s="49">
        <f>'4% Withdrawals-No Rebalancing'!N14</f>
        <v>2003</v>
      </c>
      <c r="O14" s="50">
        <f>'4% Withdrawals-No Rebalancing'!O14</f>
        <v>2.5000000000000001E-2</v>
      </c>
      <c r="P14" s="44"/>
    </row>
    <row r="15" spans="1:16"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c r="N15" s="49">
        <f>'4% Withdrawals-No Rebalancing'!N15</f>
        <v>2004</v>
      </c>
      <c r="O15" s="50">
        <f>'4% Withdrawals-No Rebalancing'!O15</f>
        <v>0.02</v>
      </c>
      <c r="P15" s="44"/>
    </row>
    <row r="16" spans="1:16"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c r="N16" s="49">
        <f>'4% Withdrawals-No Rebalancing'!N16</f>
        <v>2005</v>
      </c>
      <c r="O16" s="50">
        <f>'4% Withdrawals-No Rebalancing'!O16</f>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9">
        <f>'4% Withdrawals-No Rebalancing'!N17</f>
        <v>2006</v>
      </c>
      <c r="O17" s="50">
        <f>'4% Withdrawals-No Rebalancing'!O17</f>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9">
        <f>'4% Withdrawals-No Rebalancing'!N18</f>
        <v>2007</v>
      </c>
      <c r="O18" s="50">
        <f>'4% Withdrawals-No Rebalancing'!O18</f>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9">
        <f>'4% Withdrawals-No Rebalancing'!N19</f>
        <v>2008</v>
      </c>
      <c r="O19" s="50">
        <f>'4% Withdrawals-No Rebalancing'!O19</f>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9">
        <f>'4% Withdrawals-No Rebalancing'!N20</f>
        <v>2009</v>
      </c>
      <c r="O20" s="50">
        <f>'4% Withdrawals-No Rebalancing'!O20</f>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9">
        <f>'4% Withdrawals-No Rebalancing'!N21</f>
        <v>2010</v>
      </c>
      <c r="O21" s="50">
        <f>'4% Withdrawals-No Rebalancing'!O21</f>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9">
        <f>'4% Withdrawals-No Rebalancing'!N22</f>
        <v>2011</v>
      </c>
      <c r="O22" s="50">
        <f>'4% Withdrawals-No Rebalancing'!O22</f>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9">
        <f>'4% Withdrawals-No Rebalancing'!N23</f>
        <v>2012</v>
      </c>
      <c r="O23" s="50">
        <f>'4% Withdrawals-No Rebalancing'!O23</f>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9">
        <f>'4% Withdrawals-No Rebalancing'!N24</f>
        <v>2013</v>
      </c>
      <c r="O24" s="50">
        <f>'4% Withdrawals-No Rebalancing'!O24</f>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9">
        <f>'4% Withdrawals-No Rebalancing'!N25</f>
        <v>2014</v>
      </c>
      <c r="O25" s="50">
        <f>'4% Withdrawals-No Rebalancing'!O25</f>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9">
        <f>'4% Withdrawals-No Rebalancing'!N26</f>
        <v>2015</v>
      </c>
      <c r="O26" s="50">
        <f>'4% Withdrawals-No Rebalancing'!O26</f>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9">
        <f>'4% Withdrawals-No Rebalancing'!N27</f>
        <v>2016</v>
      </c>
      <c r="O27" s="50">
        <f>'4% Withdrawals-No Rebalancing'!O27</f>
        <v>4.4000000000000003E-3</v>
      </c>
    </row>
    <row r="28" spans="1:16" x14ac:dyDescent="0.25">
      <c r="A28" s="17">
        <f>'Non-Rebalanced Portfolio'!A28</f>
        <v>2017</v>
      </c>
      <c r="B28" s="17">
        <f>'Non-Rebalanced Portfolio'!B28</f>
        <v>21.67</v>
      </c>
      <c r="C28" s="17"/>
      <c r="D28" s="17">
        <f>'Non-Rebalanced Portfolio'!D28</f>
        <v>19.600000000000001</v>
      </c>
      <c r="E28" s="17">
        <f>'Non-Rebalanced Portfolio'!E28</f>
        <v>16.100000000000001</v>
      </c>
      <c r="F28" s="17"/>
      <c r="G28" s="17">
        <f>'Non-Rebalanced Portfolio'!G28</f>
        <v>27.4</v>
      </c>
      <c r="H28" s="17">
        <f>'Non-Rebalanced Portfolio'!H28</f>
        <v>3.46</v>
      </c>
      <c r="N28" s="49">
        <f>'4% Withdrawals-No Rebalancing'!N28</f>
        <v>2017</v>
      </c>
      <c r="O28" s="50">
        <f>'4% Withdrawals-No Rebalancing'!O28</f>
        <v>1.7000000000000001E-2</v>
      </c>
    </row>
    <row r="29" spans="1:16" x14ac:dyDescent="0.25">
      <c r="A29" s="17">
        <f>'Non-Rebalanced Portfolio'!A29</f>
        <v>2017</v>
      </c>
      <c r="B29" s="17">
        <f>'Non-Rebalanced Portfolio'!B29</f>
        <v>21.67</v>
      </c>
      <c r="C29" s="17"/>
      <c r="D29" s="17">
        <f>'Non-Rebalanced Portfolio'!D29</f>
        <v>19.600000000000001</v>
      </c>
      <c r="E29" s="17">
        <f>'Non-Rebalanced Portfolio'!E29</f>
        <v>16.100000000000001</v>
      </c>
      <c r="F29" s="17"/>
      <c r="G29" s="17">
        <f>'Non-Rebalanced Portfolio'!G29</f>
        <v>27.4</v>
      </c>
      <c r="H29" s="17">
        <f>'Non-Rebalanced Portfolio'!H29</f>
        <v>3.46</v>
      </c>
      <c r="N29" s="49">
        <f>'4% Withdrawals-No Rebalancing'!N29</f>
        <v>2017</v>
      </c>
      <c r="O29" s="50">
        <f>'4% Withdrawals-No Rebalancing'!O29</f>
        <v>2.23E-2</v>
      </c>
    </row>
    <row r="30" spans="1:16" x14ac:dyDescent="0.25">
      <c r="A30" s="17">
        <f>'Non-Rebalanced Portfolio'!A30</f>
        <v>2017</v>
      </c>
      <c r="B30" s="17">
        <f>'Non-Rebalanced Portfolio'!B30</f>
        <v>21.67</v>
      </c>
      <c r="C30" s="17"/>
      <c r="D30" s="17">
        <f>'Non-Rebalanced Portfolio'!D30</f>
        <v>19.600000000000001</v>
      </c>
      <c r="E30" s="17">
        <f>'Non-Rebalanced Portfolio'!E30</f>
        <v>16.100000000000001</v>
      </c>
      <c r="F30" s="17"/>
      <c r="G30" s="17">
        <f>'Non-Rebalanced Portfolio'!G30</f>
        <v>27.4</v>
      </c>
      <c r="H30" s="17">
        <f>'Non-Rebalanced Portfolio'!H30</f>
        <v>3.46</v>
      </c>
      <c r="N30" s="49">
        <f>'4% Withdrawals-No Rebalancing'!N30</f>
        <v>2017</v>
      </c>
      <c r="O30" s="50">
        <f>'4% Withdrawals-No Rebalancing'!O30</f>
        <v>2.23E-2</v>
      </c>
    </row>
    <row r="31" spans="1:16" x14ac:dyDescent="0.25">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 Withdrawals-No Rebalancing'!N31</f>
        <v>2017</v>
      </c>
      <c r="O31" s="50">
        <f>'4% Withdrawals-No Rebalancing'!O31</f>
        <v>2.23E-2</v>
      </c>
    </row>
    <row r="32" spans="1:16" x14ac:dyDescent="0.25">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 Withdrawals-No Rebalancing'!N32</f>
        <v>2017</v>
      </c>
      <c r="O32" s="50">
        <f>'4% Withdrawals-No Rebalancing'!O32</f>
        <v>2.23E-2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6" spans="1:65" x14ac:dyDescent="0.25">
      <c r="A36" s="20" t="s">
        <v>157</v>
      </c>
      <c r="N36" s="20" t="s">
        <v>25</v>
      </c>
      <c r="R36" s="20" t="s">
        <v>158</v>
      </c>
      <c r="AG36" s="20" t="s">
        <v>159</v>
      </c>
      <c r="AS36" s="20" t="s">
        <v>7</v>
      </c>
      <c r="BC36" s="20" t="s">
        <v>156</v>
      </c>
    </row>
    <row r="37" spans="1:6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65"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65"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65" x14ac:dyDescent="0.25">
      <c r="A40">
        <f t="shared" ref="A40:A69" si="6">A4</f>
        <v>1993</v>
      </c>
      <c r="B40" s="2">
        <f>B39*(1+(B4/100))</f>
        <v>21978</v>
      </c>
      <c r="C40" s="2">
        <f>C39*(1+(C4/100))</f>
        <v>34347</v>
      </c>
      <c r="D40" s="2"/>
      <c r="E40" s="2"/>
      <c r="F40" s="2">
        <f>F39*(1+(F4/100))</f>
        <v>26098.799999999999</v>
      </c>
      <c r="G40" s="2"/>
      <c r="H40" s="2">
        <f>H39*(1+(H4/100))</f>
        <v>32904</v>
      </c>
      <c r="I40" s="2">
        <f>SUM(B40:H40)</f>
        <v>115327.8</v>
      </c>
      <c r="J40" s="2">
        <f>I40-I39</f>
        <v>15327.800000000003</v>
      </c>
      <c r="K40" s="6">
        <f>(J40/I39)</f>
        <v>0.15327800000000003</v>
      </c>
      <c r="L40" s="7">
        <f>K40+1</f>
        <v>1.153278</v>
      </c>
      <c r="N40">
        <f>A40</f>
        <v>1993</v>
      </c>
      <c r="O40" s="2">
        <f>I40*0.04</f>
        <v>4613.1120000000001</v>
      </c>
      <c r="P40" s="2"/>
      <c r="Q40" s="2"/>
      <c r="R40">
        <f>A40</f>
        <v>1993</v>
      </c>
      <c r="S40" s="2">
        <f>B40-($O40/4)</f>
        <v>20824.722000000002</v>
      </c>
      <c r="T40" s="2">
        <f>C40-($O40/4)</f>
        <v>33193.722000000002</v>
      </c>
      <c r="U40" s="2"/>
      <c r="V40" s="2"/>
      <c r="W40" s="2">
        <f t="shared" ref="W40:W48" si="7">F40-($O40/4)</f>
        <v>24945.522000000001</v>
      </c>
      <c r="X40" s="2"/>
      <c r="Y40" s="2">
        <f>H40-($O40/4)</f>
        <v>31750.722000000002</v>
      </c>
      <c r="Z40" s="2">
        <f>SUM(S40:Y40)</f>
        <v>110714.68799999999</v>
      </c>
      <c r="AA40" s="2">
        <f>Z40-Z39</f>
        <v>10714.687999999995</v>
      </c>
      <c r="AB40" s="6">
        <f>(AA40/Z39)</f>
        <v>0.10714687999999994</v>
      </c>
      <c r="AC40" s="7">
        <f>AB40+1</f>
        <v>1.1071468799999999</v>
      </c>
      <c r="AD40" s="2">
        <f>Z40-(I40-O40)</f>
        <v>0</v>
      </c>
      <c r="AE40" s="2"/>
      <c r="AG40">
        <f>A40</f>
        <v>1993</v>
      </c>
      <c r="AH40" s="6">
        <f t="shared" si="5"/>
        <v>0.18809357977868305</v>
      </c>
      <c r="AI40" s="6">
        <f t="shared" si="5"/>
        <v>0.29981317384013223</v>
      </c>
      <c r="AJ40" s="7"/>
      <c r="AK40" s="7"/>
      <c r="AL40" s="6">
        <f>W40/$Z40</f>
        <v>0.22531357357029269</v>
      </c>
      <c r="AM40" s="7"/>
      <c r="AN40" s="6">
        <f>Y40/$Z40</f>
        <v>0.28677967281089212</v>
      </c>
      <c r="AO40" s="6">
        <f>SUM(AH40:AN40)</f>
        <v>1</v>
      </c>
      <c r="AP40" s="7">
        <f>SUM(AH40:AM40)</f>
        <v>0.71322032718910799</v>
      </c>
      <c r="AQ40" s="7">
        <f>AO40-(AP40+AN40)</f>
        <v>0</v>
      </c>
      <c r="AR40" s="24"/>
      <c r="AS40">
        <f>AG40</f>
        <v>1993</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1993</v>
      </c>
      <c r="BD40" s="2">
        <f t="shared" ref="BD40:BE50" si="9">$BK40*BD$39</f>
        <v>22142.937600000001</v>
      </c>
      <c r="BE40" s="2">
        <f t="shared" si="9"/>
        <v>33214.4064</v>
      </c>
      <c r="BF40" s="2"/>
      <c r="BG40" s="2"/>
      <c r="BH40" s="2">
        <f t="shared" ref="BH40:BH48" si="10">$BK40*BH$39</f>
        <v>22142.937600000001</v>
      </c>
      <c r="BI40" s="2"/>
      <c r="BJ40" s="2">
        <f t="shared" ref="BJ40:BJ50" si="11">$BK40*BJ$39</f>
        <v>33214.4064</v>
      </c>
      <c r="BK40" s="2">
        <f>Z40</f>
        <v>110714.68799999999</v>
      </c>
      <c r="BL40" s="2">
        <f>SUM(BD40:BJ40)-Z40</f>
        <v>0</v>
      </c>
      <c r="BM40" s="2"/>
    </row>
    <row r="41" spans="1:65" x14ac:dyDescent="0.25">
      <c r="A41">
        <f t="shared" si="6"/>
        <v>1994</v>
      </c>
      <c r="B41" s="2">
        <f t="shared" ref="B41:B50" si="12">BD40*(1+(B5/100))</f>
        <v>22404.22426368</v>
      </c>
      <c r="C41" s="2">
        <f t="shared" ref="C41:C50" si="13">BE40*(1+(C5/100))</f>
        <v>32628.504271104001</v>
      </c>
      <c r="D41" s="2"/>
      <c r="E41" s="2"/>
      <c r="F41" s="2">
        <f t="shared" ref="F41:F48" si="14">BH40*(1+(F5/100))</f>
        <v>23306.548970880005</v>
      </c>
      <c r="G41" s="2"/>
      <c r="H41" s="2">
        <f t="shared" ref="H41:H69" si="15">BJ40*(1+(H5/100))</f>
        <v>32330.90318976</v>
      </c>
      <c r="I41" s="2">
        <f>SUM(B41:H41)</f>
        <v>110670.180695424</v>
      </c>
      <c r="J41" s="2">
        <f t="shared" ref="J41:J67" si="16">I41-I40</f>
        <v>-4657.619304576001</v>
      </c>
      <c r="K41" s="6">
        <f t="shared" ref="K41:K67" si="17">(J41/I40)</f>
        <v>-4.0385920000000006E-2</v>
      </c>
      <c r="L41" s="7">
        <f t="shared" ref="L41:L67" si="18">K41+1</f>
        <v>0.95961408000000004</v>
      </c>
      <c r="N41">
        <f t="shared" ref="N41:N67" si="19">A41</f>
        <v>1994</v>
      </c>
      <c r="O41" s="2">
        <f t="shared" ref="O41:O69" si="20">O40*(1+O5)</f>
        <v>4742.2791360000001</v>
      </c>
      <c r="P41" s="2"/>
      <c r="Q41" s="2"/>
      <c r="R41">
        <f t="shared" ref="R41:R67" si="21">A41</f>
        <v>1994</v>
      </c>
      <c r="S41" s="2">
        <f t="shared" ref="S41:T49" si="22">B41-($O41/4)</f>
        <v>21218.654479680001</v>
      </c>
      <c r="T41" s="2">
        <f t="shared" si="22"/>
        <v>31442.934487104001</v>
      </c>
      <c r="U41" s="2"/>
      <c r="V41" s="2"/>
      <c r="W41" s="2">
        <f t="shared" si="7"/>
        <v>22120.979186880006</v>
      </c>
      <c r="X41" s="2"/>
      <c r="Y41" s="2">
        <f t="shared" ref="Y41:Y49" si="23">H41-($O41/4)</f>
        <v>31145.33340576</v>
      </c>
      <c r="Z41" s="2">
        <f t="shared" ref="Z41:Z67" si="24">SUM(S41:Y41)</f>
        <v>105927.901559424</v>
      </c>
      <c r="AA41" s="2">
        <f t="shared" ref="AA41:AA55" si="25">Z41-Z40</f>
        <v>-4786.7864405759901</v>
      </c>
      <c r="AB41" s="6">
        <f t="shared" ref="AB41:AB55" si="26">(AA41/Z40)</f>
        <v>-4.3235333333333244E-2</v>
      </c>
      <c r="AC41" s="7">
        <f t="shared" ref="AC41:AC67" si="27">AB41+1</f>
        <v>0.95676466666666671</v>
      </c>
      <c r="AD41" s="2">
        <f t="shared" ref="AD41:AD67" si="28">Z41-(I41-O41)</f>
        <v>0</v>
      </c>
      <c r="AE41" s="2"/>
      <c r="AG41">
        <f t="shared" ref="AG41:AG67" si="29">A41</f>
        <v>1994</v>
      </c>
      <c r="AH41" s="6">
        <f t="shared" si="5"/>
        <v>0.20031223282353655</v>
      </c>
      <c r="AI41" s="6">
        <f t="shared" si="5"/>
        <v>0.29683335574683289</v>
      </c>
      <c r="AJ41" s="7"/>
      <c r="AK41" s="7"/>
      <c r="AL41" s="6">
        <f t="shared" ref="AL41:AM56" si="30">W41/$Z41</f>
        <v>0.20883052398116714</v>
      </c>
      <c r="AM41" s="7"/>
      <c r="AN41" s="6">
        <f t="shared" ref="AN41:AN67" si="31">Y41/$Z41</f>
        <v>0.29402388744846347</v>
      </c>
      <c r="AO41" s="6">
        <f t="shared" ref="AO41:AO65" si="32">SUM(AH41:AN41)</f>
        <v>1</v>
      </c>
      <c r="AP41" s="7">
        <f t="shared" ref="AP41:AP65" si="33">SUM(AH41:AM41)</f>
        <v>0.70597611255153658</v>
      </c>
      <c r="AQ41" s="7">
        <f t="shared" ref="AQ41:AQ67" si="34">AO41-(AP41+AN41)</f>
        <v>0</v>
      </c>
      <c r="AR41" s="24"/>
      <c r="AS41">
        <f t="shared" ref="AS41:AS67" si="35">AG41</f>
        <v>1994</v>
      </c>
      <c r="AT41" s="1" t="b">
        <f t="shared" ref="AT41:AT67" si="36">AND((S41/$Z41)&gt;0.15,(S41/$Z41)&lt;0.25)</f>
        <v>1</v>
      </c>
      <c r="AU41" s="1" t="b">
        <f t="shared" ref="AU41:AU50" si="37">AND((T41/$Z41)&gt;0.25,(T41/$Z41)&lt;0.35)</f>
        <v>1</v>
      </c>
      <c r="AX41" s="1" t="b">
        <f t="shared" si="8"/>
        <v>1</v>
      </c>
      <c r="AZ41" s="1" t="b">
        <f t="shared" ref="AZ41:AZ67" si="38">AND((Y41/$Z41)&gt;0.25,(Y41/$Z41)&lt;0.35)</f>
        <v>1</v>
      </c>
      <c r="BA41" s="1" t="b">
        <f t="shared" ref="BA41:BA67" si="39">AND((Z41/$Z41)&gt;0.999,(Z41/$Z41)&lt;1.01)</f>
        <v>1</v>
      </c>
      <c r="BC41">
        <f t="shared" ref="BC41:BC67" si="40">AS41</f>
        <v>1994</v>
      </c>
      <c r="BD41" s="2">
        <f t="shared" si="9"/>
        <v>21185.580311884802</v>
      </c>
      <c r="BE41" s="2">
        <f t="shared" si="9"/>
        <v>31778.370467827201</v>
      </c>
      <c r="BF41" s="2"/>
      <c r="BG41" s="2"/>
      <c r="BH41" s="2">
        <f t="shared" si="10"/>
        <v>21185.580311884802</v>
      </c>
      <c r="BI41" s="2"/>
      <c r="BJ41" s="2">
        <f t="shared" si="11"/>
        <v>31778.370467827201</v>
      </c>
      <c r="BK41" s="2">
        <f t="shared" ref="BK41:BK67" si="41">Z41</f>
        <v>105927.901559424</v>
      </c>
      <c r="BL41" s="2">
        <f t="shared" ref="BL41:BL67" si="42">SUM(BD41:BJ41)-Z41</f>
        <v>0</v>
      </c>
      <c r="BM41" s="2"/>
    </row>
    <row r="42" spans="1:65" x14ac:dyDescent="0.25">
      <c r="A42">
        <f t="shared" si="6"/>
        <v>1995</v>
      </c>
      <c r="B42" s="2">
        <f t="shared" si="12"/>
        <v>29119.580138685662</v>
      </c>
      <c r="C42" s="2">
        <f t="shared" si="13"/>
        <v>42518.506334838756</v>
      </c>
      <c r="D42" s="2"/>
      <c r="E42" s="2"/>
      <c r="F42" s="2">
        <f t="shared" si="14"/>
        <v>23229.141388769211</v>
      </c>
      <c r="G42" s="2"/>
      <c r="H42" s="2">
        <f t="shared" si="15"/>
        <v>37555.678218878187</v>
      </c>
      <c r="I42" s="2">
        <f t="shared" ref="I42:I64" si="43">SUM(B42:H42)</f>
        <v>132422.90608117182</v>
      </c>
      <c r="J42" s="2">
        <f t="shared" si="16"/>
        <v>21752.725385747821</v>
      </c>
      <c r="K42" s="6">
        <f t="shared" si="17"/>
        <v>0.19655453030851747</v>
      </c>
      <c r="L42" s="7">
        <f t="shared" si="18"/>
        <v>1.1965545303085174</v>
      </c>
      <c r="N42">
        <f t="shared" si="19"/>
        <v>1995</v>
      </c>
      <c r="O42" s="2">
        <f t="shared" si="20"/>
        <v>4865.5783935360005</v>
      </c>
      <c r="P42" s="2"/>
      <c r="Q42" s="2"/>
      <c r="R42">
        <f t="shared" si="21"/>
        <v>1995</v>
      </c>
      <c r="S42" s="2">
        <f t="shared" si="22"/>
        <v>27903.185540301663</v>
      </c>
      <c r="T42" s="2">
        <f t="shared" si="22"/>
        <v>41302.111736454754</v>
      </c>
      <c r="U42" s="2"/>
      <c r="V42" s="2"/>
      <c r="W42" s="2">
        <f t="shared" si="7"/>
        <v>22012.746790385212</v>
      </c>
      <c r="X42" s="2"/>
      <c r="Y42" s="2">
        <f t="shared" si="23"/>
        <v>36339.283620494185</v>
      </c>
      <c r="Z42" s="2">
        <f t="shared" si="24"/>
        <v>127557.32768763581</v>
      </c>
      <c r="AA42" s="2">
        <f t="shared" si="25"/>
        <v>21629.42612821181</v>
      </c>
      <c r="AB42" s="6">
        <f t="shared" si="26"/>
        <v>0.20419007466203809</v>
      </c>
      <c r="AC42" s="7">
        <f t="shared" si="27"/>
        <v>1.204190074662038</v>
      </c>
      <c r="AD42" s="2">
        <f t="shared" si="28"/>
        <v>0</v>
      </c>
      <c r="AE42" s="2"/>
      <c r="AG42">
        <f t="shared" si="29"/>
        <v>1995</v>
      </c>
      <c r="AH42" s="6">
        <f t="shared" si="5"/>
        <v>0.21875015764387429</v>
      </c>
      <c r="AI42" s="6">
        <f t="shared" si="5"/>
        <v>0.32379254477324854</v>
      </c>
      <c r="AJ42" s="7"/>
      <c r="AK42" s="7"/>
      <c r="AL42" s="6">
        <f t="shared" si="30"/>
        <v>0.17257140134113139</v>
      </c>
      <c r="AM42" s="7"/>
      <c r="AN42" s="6">
        <f t="shared" si="31"/>
        <v>0.28488589624174582</v>
      </c>
      <c r="AO42" s="6">
        <f t="shared" si="32"/>
        <v>1</v>
      </c>
      <c r="AP42" s="7">
        <f t="shared" si="33"/>
        <v>0.71511410375825413</v>
      </c>
      <c r="AQ42" s="7">
        <f t="shared" si="34"/>
        <v>0</v>
      </c>
      <c r="AR42" s="24"/>
      <c r="AS42">
        <f t="shared" si="35"/>
        <v>1995</v>
      </c>
      <c r="AT42" s="1" t="b">
        <f t="shared" si="36"/>
        <v>1</v>
      </c>
      <c r="AU42" s="1" t="b">
        <f t="shared" si="37"/>
        <v>1</v>
      </c>
      <c r="AX42" s="1" t="b">
        <f t="shared" si="8"/>
        <v>1</v>
      </c>
      <c r="AZ42" s="1" t="b">
        <f t="shared" si="38"/>
        <v>1</v>
      </c>
      <c r="BA42" s="1" t="b">
        <f t="shared" si="39"/>
        <v>1</v>
      </c>
      <c r="BC42">
        <f t="shared" si="40"/>
        <v>1995</v>
      </c>
      <c r="BD42" s="2">
        <f t="shared" si="9"/>
        <v>25511.465537527165</v>
      </c>
      <c r="BE42" s="2">
        <f t="shared" si="9"/>
        <v>38267.198306290746</v>
      </c>
      <c r="BF42" s="2"/>
      <c r="BG42" s="2"/>
      <c r="BH42" s="2">
        <f t="shared" si="10"/>
        <v>25511.465537527165</v>
      </c>
      <c r="BI42" s="2"/>
      <c r="BJ42" s="2">
        <f t="shared" si="11"/>
        <v>38267.198306290746</v>
      </c>
      <c r="BK42" s="2">
        <f t="shared" si="41"/>
        <v>127557.32768763581</v>
      </c>
      <c r="BL42" s="2">
        <f t="shared" si="42"/>
        <v>0</v>
      </c>
      <c r="BM42" s="2"/>
    </row>
    <row r="43" spans="1:65" x14ac:dyDescent="0.25">
      <c r="A43">
        <f t="shared" si="6"/>
        <v>1996</v>
      </c>
      <c r="B43" s="2">
        <f t="shared" si="12"/>
        <v>31348.488852513383</v>
      </c>
      <c r="C43" s="2">
        <f t="shared" si="13"/>
        <v>45020.210791401871</v>
      </c>
      <c r="D43" s="2"/>
      <c r="E43" s="2"/>
      <c r="F43" s="2">
        <f t="shared" si="14"/>
        <v>28118.482200807066</v>
      </c>
      <c r="G43" s="2"/>
      <c r="H43" s="2">
        <f t="shared" si="15"/>
        <v>39637.164005655955</v>
      </c>
      <c r="I43" s="2">
        <f t="shared" si="43"/>
        <v>144124.34585037827</v>
      </c>
      <c r="J43" s="2">
        <f t="shared" si="16"/>
        <v>11701.439769206452</v>
      </c>
      <c r="K43" s="6">
        <f t="shared" si="17"/>
        <v>8.8364166861236007E-2</v>
      </c>
      <c r="L43" s="7">
        <f t="shared" si="18"/>
        <v>1.088364166861236</v>
      </c>
      <c r="N43">
        <f t="shared" si="19"/>
        <v>1996</v>
      </c>
      <c r="O43" s="2">
        <f t="shared" si="20"/>
        <v>4987.2178533744</v>
      </c>
      <c r="P43" s="2"/>
      <c r="Q43" s="2"/>
      <c r="R43">
        <f t="shared" si="21"/>
        <v>1996</v>
      </c>
      <c r="S43" s="2">
        <f t="shared" si="22"/>
        <v>30101.684389169783</v>
      </c>
      <c r="T43" s="2">
        <f t="shared" si="22"/>
        <v>43773.40632805827</v>
      </c>
      <c r="U43" s="2"/>
      <c r="V43" s="2"/>
      <c r="W43" s="2">
        <f t="shared" si="7"/>
        <v>26871.677737463466</v>
      </c>
      <c r="X43" s="2"/>
      <c r="Y43" s="2">
        <f t="shared" si="23"/>
        <v>38390.359542312355</v>
      </c>
      <c r="Z43" s="2">
        <f t="shared" si="24"/>
        <v>139137.12799700387</v>
      </c>
      <c r="AA43" s="2">
        <f t="shared" si="25"/>
        <v>11579.80030936806</v>
      </c>
      <c r="AB43" s="6">
        <f t="shared" si="26"/>
        <v>9.0781145382136247E-2</v>
      </c>
      <c r="AC43" s="7">
        <f t="shared" si="27"/>
        <v>1.0907811453821363</v>
      </c>
      <c r="AD43" s="2">
        <f t="shared" si="28"/>
        <v>0</v>
      </c>
      <c r="AE43" s="2"/>
      <c r="AG43">
        <f t="shared" si="29"/>
        <v>1996</v>
      </c>
      <c r="AH43" s="6">
        <f t="shared" si="5"/>
        <v>0.21634544871314276</v>
      </c>
      <c r="AI43" s="6">
        <f t="shared" si="5"/>
        <v>0.31460622307081737</v>
      </c>
      <c r="AJ43" s="7"/>
      <c r="AK43" s="7"/>
      <c r="AL43" s="6">
        <f t="shared" si="30"/>
        <v>0.19313089269775721</v>
      </c>
      <c r="AM43" s="7"/>
      <c r="AN43" s="6">
        <f t="shared" si="31"/>
        <v>0.27591743551828263</v>
      </c>
      <c r="AO43" s="6">
        <f t="shared" si="32"/>
        <v>1</v>
      </c>
      <c r="AP43" s="7">
        <f t="shared" si="33"/>
        <v>0.72408256448171737</v>
      </c>
      <c r="AQ43" s="7">
        <f t="shared" si="34"/>
        <v>0</v>
      </c>
      <c r="AR43" s="24"/>
      <c r="AS43">
        <f t="shared" si="35"/>
        <v>1996</v>
      </c>
      <c r="AT43" s="1" t="b">
        <f t="shared" si="36"/>
        <v>1</v>
      </c>
      <c r="AU43" s="1" t="b">
        <f t="shared" si="37"/>
        <v>1</v>
      </c>
      <c r="AX43" s="1" t="b">
        <f t="shared" si="8"/>
        <v>1</v>
      </c>
      <c r="AZ43" s="1" t="b">
        <f t="shared" si="38"/>
        <v>1</v>
      </c>
      <c r="BA43" s="1" t="b">
        <f t="shared" si="39"/>
        <v>1</v>
      </c>
      <c r="BC43">
        <f t="shared" si="40"/>
        <v>1996</v>
      </c>
      <c r="BD43" s="2">
        <f t="shared" si="9"/>
        <v>27827.425599400776</v>
      </c>
      <c r="BE43" s="2">
        <f t="shared" si="9"/>
        <v>41741.138399101161</v>
      </c>
      <c r="BF43" s="2"/>
      <c r="BG43" s="2"/>
      <c r="BH43" s="2">
        <f t="shared" si="10"/>
        <v>27827.425599400776</v>
      </c>
      <c r="BI43" s="2"/>
      <c r="BJ43" s="2">
        <f t="shared" si="11"/>
        <v>41741.138399101161</v>
      </c>
      <c r="BK43" s="2">
        <f t="shared" si="41"/>
        <v>139137.12799700387</v>
      </c>
      <c r="BL43" s="2">
        <f t="shared" si="42"/>
        <v>0</v>
      </c>
      <c r="BM43" s="2"/>
    </row>
    <row r="44" spans="1:65" x14ac:dyDescent="0.25">
      <c r="A44">
        <f t="shared" si="6"/>
        <v>1997</v>
      </c>
      <c r="B44" s="2">
        <f t="shared" si="12"/>
        <v>37063.348155841893</v>
      </c>
      <c r="C44" s="2">
        <f t="shared" si="13"/>
        <v>52880.596003669285</v>
      </c>
      <c r="D44" s="2"/>
      <c r="E44" s="2"/>
      <c r="F44" s="2">
        <f t="shared" si="14"/>
        <v>27827.425599400776</v>
      </c>
      <c r="G44" s="2"/>
      <c r="H44" s="2">
        <f t="shared" si="15"/>
        <v>45681.501863976315</v>
      </c>
      <c r="I44" s="2">
        <f t="shared" si="43"/>
        <v>163452.87162288825</v>
      </c>
      <c r="J44" s="2">
        <f t="shared" si="16"/>
        <v>19328.52577250998</v>
      </c>
      <c r="K44" s="6">
        <f t="shared" si="17"/>
        <v>0.13411006765349526</v>
      </c>
      <c r="L44" s="7">
        <f t="shared" si="18"/>
        <v>1.1341100676534952</v>
      </c>
      <c r="N44">
        <f t="shared" si="19"/>
        <v>1997</v>
      </c>
      <c r="O44" s="2">
        <f t="shared" si="20"/>
        <v>5156.7832603891293</v>
      </c>
      <c r="P44" s="2"/>
      <c r="Q44" s="2"/>
      <c r="R44">
        <f t="shared" si="21"/>
        <v>1997</v>
      </c>
      <c r="S44" s="2">
        <f t="shared" si="22"/>
        <v>35774.152340744607</v>
      </c>
      <c r="T44" s="2">
        <f t="shared" si="22"/>
        <v>51591.400188572006</v>
      </c>
      <c r="U44" s="2"/>
      <c r="V44" s="2"/>
      <c r="W44" s="2">
        <f t="shared" si="7"/>
        <v>26538.229784303494</v>
      </c>
      <c r="X44" s="2"/>
      <c r="Y44" s="2">
        <f t="shared" si="23"/>
        <v>44392.306048879036</v>
      </c>
      <c r="Z44" s="2">
        <f t="shared" si="24"/>
        <v>158296.08836249914</v>
      </c>
      <c r="AA44" s="2">
        <f t="shared" si="25"/>
        <v>19158.960365495266</v>
      </c>
      <c r="AB44" s="6">
        <f t="shared" si="26"/>
        <v>0.13769840330402555</v>
      </c>
      <c r="AC44" s="7">
        <f t="shared" si="27"/>
        <v>1.1376984033040256</v>
      </c>
      <c r="AD44" s="2">
        <f t="shared" si="28"/>
        <v>0</v>
      </c>
      <c r="AE44" s="2"/>
      <c r="AG44">
        <f t="shared" si="29"/>
        <v>1997</v>
      </c>
      <c r="AH44" s="6">
        <f t="shared" si="5"/>
        <v>0.22599517594409252</v>
      </c>
      <c r="AI44" s="38">
        <f t="shared" si="5"/>
        <v>0.32591708817483439</v>
      </c>
      <c r="AJ44" s="7"/>
      <c r="AK44" s="7"/>
      <c r="AL44" s="38">
        <f t="shared" si="30"/>
        <v>0.16764930870263051</v>
      </c>
      <c r="AM44" s="7"/>
      <c r="AN44" s="6">
        <f t="shared" si="31"/>
        <v>0.28043842717844264</v>
      </c>
      <c r="AO44" s="6">
        <f t="shared" si="32"/>
        <v>1</v>
      </c>
      <c r="AP44" s="7">
        <f t="shared" si="33"/>
        <v>0.71956157282155742</v>
      </c>
      <c r="AQ44" s="7">
        <f t="shared" si="34"/>
        <v>0</v>
      </c>
      <c r="AR44" s="24"/>
      <c r="AS44">
        <f t="shared" si="35"/>
        <v>1997</v>
      </c>
      <c r="AT44" s="1" t="b">
        <f t="shared" si="36"/>
        <v>1</v>
      </c>
      <c r="AU44" s="1" t="b">
        <f t="shared" si="37"/>
        <v>1</v>
      </c>
      <c r="AV44" s="1"/>
      <c r="AW44" s="1"/>
      <c r="AX44" s="1" t="b">
        <f t="shared" si="8"/>
        <v>1</v>
      </c>
      <c r="AY44" s="1"/>
      <c r="AZ44" s="1" t="b">
        <f t="shared" si="38"/>
        <v>1</v>
      </c>
      <c r="BA44" s="1" t="b">
        <f t="shared" si="39"/>
        <v>1</v>
      </c>
      <c r="BC44">
        <f t="shared" si="40"/>
        <v>1997</v>
      </c>
      <c r="BD44" s="2">
        <f t="shared" si="9"/>
        <v>31659.217672499828</v>
      </c>
      <c r="BE44" s="2">
        <f t="shared" si="9"/>
        <v>47488.826508749742</v>
      </c>
      <c r="BF44" s="2"/>
      <c r="BG44" s="2"/>
      <c r="BH44" s="2">
        <f t="shared" si="10"/>
        <v>31659.217672499828</v>
      </c>
      <c r="BI44" s="2"/>
      <c r="BJ44" s="2">
        <f t="shared" si="11"/>
        <v>47488.826508749742</v>
      </c>
      <c r="BK44" s="2">
        <f t="shared" si="41"/>
        <v>158296.08836249914</v>
      </c>
      <c r="BL44" s="2">
        <f t="shared" si="42"/>
        <v>0</v>
      </c>
      <c r="BM44" s="2"/>
    </row>
    <row r="45" spans="1:65" x14ac:dyDescent="0.25">
      <c r="A45">
        <f t="shared" si="6"/>
        <v>1998</v>
      </c>
      <c r="B45" s="2">
        <f t="shared" si="12"/>
        <v>40732.74945743828</v>
      </c>
      <c r="C45" s="2">
        <f t="shared" si="13"/>
        <v>51455.568187025616</v>
      </c>
      <c r="D45" s="2"/>
      <c r="E45" s="2"/>
      <c r="F45" s="2">
        <f t="shared" si="14"/>
        <v>31659.217672499828</v>
      </c>
      <c r="G45" s="2"/>
      <c r="H45" s="2">
        <f t="shared" si="15"/>
        <v>51563.367823200475</v>
      </c>
      <c r="I45" s="2">
        <f t="shared" si="43"/>
        <v>175410.90314016421</v>
      </c>
      <c r="J45" s="2">
        <f t="shared" si="16"/>
        <v>11958.031517275958</v>
      </c>
      <c r="K45" s="6">
        <f t="shared" si="17"/>
        <v>7.3158895273892993E-2</v>
      </c>
      <c r="L45" s="7">
        <f t="shared" si="18"/>
        <v>1.0731588952738931</v>
      </c>
      <c r="N45">
        <f t="shared" si="19"/>
        <v>1998</v>
      </c>
      <c r="O45" s="2">
        <f t="shared" si="20"/>
        <v>5244.4485758157443</v>
      </c>
      <c r="P45" s="2"/>
      <c r="Q45" s="2"/>
      <c r="R45">
        <f t="shared" si="21"/>
        <v>1998</v>
      </c>
      <c r="S45" s="2">
        <f t="shared" si="22"/>
        <v>39421.637313484345</v>
      </c>
      <c r="T45" s="2">
        <f t="shared" si="22"/>
        <v>50144.456043071681</v>
      </c>
      <c r="U45" s="2"/>
      <c r="V45" s="2"/>
      <c r="W45" s="2">
        <f t="shared" si="7"/>
        <v>30348.105528545893</v>
      </c>
      <c r="X45" s="2"/>
      <c r="Y45" s="2">
        <f t="shared" si="23"/>
        <v>50252.25567924654</v>
      </c>
      <c r="Z45" s="2">
        <f t="shared" si="24"/>
        <v>170166.45456434845</v>
      </c>
      <c r="AA45" s="2">
        <f t="shared" si="25"/>
        <v>11870.366201849305</v>
      </c>
      <c r="AB45" s="6">
        <f t="shared" si="26"/>
        <v>7.4988373526110666E-2</v>
      </c>
      <c r="AC45" s="7">
        <f t="shared" si="27"/>
        <v>1.0749883735261108</v>
      </c>
      <c r="AD45" s="2">
        <f t="shared" si="28"/>
        <v>0</v>
      </c>
      <c r="AE45" s="2"/>
      <c r="AG45">
        <f t="shared" si="29"/>
        <v>1998</v>
      </c>
      <c r="AH45" s="6">
        <f t="shared" si="5"/>
        <v>0.23166515053986186</v>
      </c>
      <c r="AI45" s="6">
        <f t="shared" si="5"/>
        <v>0.2946788553093439</v>
      </c>
      <c r="AJ45" s="7"/>
      <c r="AK45" s="7"/>
      <c r="AL45" s="6">
        <f t="shared" si="30"/>
        <v>0.17834364361790095</v>
      </c>
      <c r="AM45" s="7"/>
      <c r="AN45" s="6">
        <f t="shared" si="31"/>
        <v>0.29531235053289334</v>
      </c>
      <c r="AO45" s="6">
        <f t="shared" si="32"/>
        <v>1</v>
      </c>
      <c r="AP45" s="7">
        <f t="shared" si="33"/>
        <v>0.7046876494671066</v>
      </c>
      <c r="AQ45" s="7">
        <f t="shared" si="34"/>
        <v>0</v>
      </c>
      <c r="AR45" s="24"/>
      <c r="AS45">
        <f t="shared" si="35"/>
        <v>1998</v>
      </c>
      <c r="AT45" s="1" t="b">
        <f t="shared" si="36"/>
        <v>1</v>
      </c>
      <c r="AU45" s="1" t="b">
        <f t="shared" si="37"/>
        <v>1</v>
      </c>
      <c r="AV45" s="1"/>
      <c r="AW45" s="1"/>
      <c r="AX45" s="1" t="b">
        <f t="shared" si="8"/>
        <v>1</v>
      </c>
      <c r="AY45" s="1"/>
      <c r="AZ45" s="1" t="b">
        <f t="shared" si="38"/>
        <v>1</v>
      </c>
      <c r="BA45" s="1" t="b">
        <f t="shared" si="39"/>
        <v>1</v>
      </c>
      <c r="BC45">
        <f t="shared" si="40"/>
        <v>1998</v>
      </c>
      <c r="BD45" s="2">
        <f t="shared" si="9"/>
        <v>34033.290912869692</v>
      </c>
      <c r="BE45" s="2">
        <f t="shared" si="9"/>
        <v>51049.936369304531</v>
      </c>
      <c r="BF45" s="2"/>
      <c r="BG45" s="2"/>
      <c r="BH45" s="2">
        <f t="shared" si="10"/>
        <v>34033.290912869692</v>
      </c>
      <c r="BI45" s="2"/>
      <c r="BJ45" s="2">
        <f t="shared" si="11"/>
        <v>51049.936369304531</v>
      </c>
      <c r="BK45" s="2">
        <f t="shared" si="41"/>
        <v>170166.45456434845</v>
      </c>
      <c r="BL45" s="2">
        <f t="shared" si="42"/>
        <v>0</v>
      </c>
      <c r="BM45" s="2"/>
    </row>
    <row r="46" spans="1:65" x14ac:dyDescent="0.25">
      <c r="A46">
        <f t="shared" si="6"/>
        <v>1999</v>
      </c>
      <c r="B46" s="2">
        <f t="shared" si="12"/>
        <v>41204.105308211343</v>
      </c>
      <c r="C46" s="2">
        <f t="shared" si="13"/>
        <v>51049.936369304531</v>
      </c>
      <c r="D46" s="2"/>
      <c r="E46" s="2"/>
      <c r="F46" s="2">
        <f t="shared" si="14"/>
        <v>34033.290912869692</v>
      </c>
      <c r="G46" s="2"/>
      <c r="H46" s="2">
        <f t="shared" si="15"/>
        <v>50661.956852897812</v>
      </c>
      <c r="I46" s="2">
        <f t="shared" si="43"/>
        <v>176949.28944328337</v>
      </c>
      <c r="J46" s="2">
        <f t="shared" si="16"/>
        <v>1538.3863031191577</v>
      </c>
      <c r="K46" s="6">
        <f t="shared" si="17"/>
        <v>8.7701863201165523E-3</v>
      </c>
      <c r="L46" s="7">
        <f t="shared" si="18"/>
        <v>1.0087701863201166</v>
      </c>
      <c r="N46">
        <f t="shared" si="19"/>
        <v>1999</v>
      </c>
      <c r="O46" s="2">
        <f t="shared" si="20"/>
        <v>5328.3597530287961</v>
      </c>
      <c r="P46" s="2"/>
      <c r="Q46" s="2"/>
      <c r="R46">
        <f t="shared" si="21"/>
        <v>1999</v>
      </c>
      <c r="S46" s="2">
        <f t="shared" si="22"/>
        <v>39872.015369954141</v>
      </c>
      <c r="T46" s="2">
        <f t="shared" si="22"/>
        <v>49717.846431047328</v>
      </c>
      <c r="U46" s="2"/>
      <c r="V46" s="2"/>
      <c r="W46" s="2">
        <f t="shared" si="7"/>
        <v>32701.200974612493</v>
      </c>
      <c r="X46" s="2"/>
      <c r="Y46" s="2">
        <f t="shared" si="23"/>
        <v>49329.86691464061</v>
      </c>
      <c r="Z46" s="2">
        <f t="shared" si="24"/>
        <v>171620.92969025459</v>
      </c>
      <c r="AA46" s="2">
        <f t="shared" si="25"/>
        <v>1454.475125906145</v>
      </c>
      <c r="AB46" s="6">
        <f t="shared" si="26"/>
        <v>8.5473669274582862E-3</v>
      </c>
      <c r="AC46" s="7">
        <f t="shared" si="27"/>
        <v>1.0085473669274583</v>
      </c>
      <c r="AD46" s="2">
        <f t="shared" si="28"/>
        <v>0</v>
      </c>
      <c r="AE46" s="2"/>
      <c r="AG46">
        <f t="shared" si="29"/>
        <v>1999</v>
      </c>
      <c r="AH46" s="6">
        <f t="shared" si="5"/>
        <v>0.23232606560234859</v>
      </c>
      <c r="AI46" s="6">
        <f t="shared" si="5"/>
        <v>0.28969570623337865</v>
      </c>
      <c r="AJ46" s="7"/>
      <c r="AK46" s="7"/>
      <c r="AL46" s="6">
        <f t="shared" si="30"/>
        <v>0.19054319909367917</v>
      </c>
      <c r="AM46" s="7"/>
      <c r="AN46" s="6">
        <f t="shared" si="31"/>
        <v>0.28743502907059348</v>
      </c>
      <c r="AO46" s="6">
        <f t="shared" si="32"/>
        <v>0.99999999999999989</v>
      </c>
      <c r="AP46" s="7">
        <f t="shared" si="33"/>
        <v>0.7125649709294064</v>
      </c>
      <c r="AQ46" s="7">
        <f t="shared" si="34"/>
        <v>0</v>
      </c>
      <c r="AR46" s="24"/>
      <c r="AS46">
        <f t="shared" si="35"/>
        <v>1999</v>
      </c>
      <c r="AT46" s="1" t="b">
        <f t="shared" si="36"/>
        <v>1</v>
      </c>
      <c r="AU46" s="1" t="b">
        <f t="shared" si="37"/>
        <v>1</v>
      </c>
      <c r="AV46" s="1"/>
      <c r="AW46" s="1"/>
      <c r="AX46" s="1" t="b">
        <f t="shared" si="8"/>
        <v>1</v>
      </c>
      <c r="AY46" s="1"/>
      <c r="AZ46" s="1" t="b">
        <f t="shared" si="38"/>
        <v>1</v>
      </c>
      <c r="BA46" s="1" t="b">
        <f t="shared" si="39"/>
        <v>1</v>
      </c>
      <c r="BC46">
        <f t="shared" si="40"/>
        <v>1999</v>
      </c>
      <c r="BD46" s="2">
        <f t="shared" si="9"/>
        <v>34324.18593805092</v>
      </c>
      <c r="BE46" s="2">
        <f t="shared" si="9"/>
        <v>51486.278907076376</v>
      </c>
      <c r="BF46" s="2"/>
      <c r="BG46" s="2"/>
      <c r="BH46" s="2">
        <f t="shared" si="10"/>
        <v>34324.18593805092</v>
      </c>
      <c r="BI46" s="2"/>
      <c r="BJ46" s="2">
        <f t="shared" si="11"/>
        <v>51486.278907076376</v>
      </c>
      <c r="BK46" s="2">
        <f t="shared" si="41"/>
        <v>171620.92969025459</v>
      </c>
      <c r="BL46" s="2">
        <f t="shared" si="42"/>
        <v>0</v>
      </c>
      <c r="BM46" s="2"/>
    </row>
    <row r="47" spans="1:65" x14ac:dyDescent="0.25">
      <c r="A47">
        <f t="shared" si="6"/>
        <v>2000</v>
      </c>
      <c r="B47" s="2">
        <f t="shared" si="12"/>
        <v>31214.414692063507</v>
      </c>
      <c r="C47" s="2">
        <f t="shared" si="13"/>
        <v>51486.278907076376</v>
      </c>
      <c r="D47" s="2"/>
      <c r="E47" s="2"/>
      <c r="F47" s="2">
        <f t="shared" si="14"/>
        <v>34324.18593805092</v>
      </c>
      <c r="G47" s="2"/>
      <c r="H47" s="2">
        <f t="shared" si="15"/>
        <v>57350.566074592381</v>
      </c>
      <c r="I47" s="2">
        <f t="shared" si="43"/>
        <v>174375.44561178319</v>
      </c>
      <c r="J47" s="2">
        <f t="shared" si="16"/>
        <v>-2573.843831500184</v>
      </c>
      <c r="K47" s="6">
        <f t="shared" si="17"/>
        <v>-1.4545657909099232E-2</v>
      </c>
      <c r="L47" s="7">
        <f t="shared" si="18"/>
        <v>0.98545434209090077</v>
      </c>
      <c r="N47">
        <f t="shared" si="19"/>
        <v>2000</v>
      </c>
      <c r="O47" s="2">
        <f t="shared" si="20"/>
        <v>5472.2254663605736</v>
      </c>
      <c r="P47" s="2"/>
      <c r="Q47" s="2"/>
      <c r="R47">
        <f t="shared" si="21"/>
        <v>2000</v>
      </c>
      <c r="S47" s="2">
        <f t="shared" si="22"/>
        <v>29846.358325473364</v>
      </c>
      <c r="T47" s="2">
        <f t="shared" si="22"/>
        <v>50118.222540486233</v>
      </c>
      <c r="U47" s="2"/>
      <c r="V47" s="2"/>
      <c r="W47" s="2">
        <f t="shared" si="7"/>
        <v>32956.129571460777</v>
      </c>
      <c r="X47" s="2"/>
      <c r="Y47" s="2">
        <f t="shared" si="23"/>
        <v>55982.509708002239</v>
      </c>
      <c r="Z47" s="2">
        <f t="shared" si="24"/>
        <v>168903.22014542262</v>
      </c>
      <c r="AA47" s="2">
        <f t="shared" si="25"/>
        <v>-2717.7095448319742</v>
      </c>
      <c r="AB47" s="6">
        <f t="shared" si="26"/>
        <v>-1.5835536782937601E-2</v>
      </c>
      <c r="AC47" s="7">
        <f t="shared" si="27"/>
        <v>0.98416446321706241</v>
      </c>
      <c r="AD47" s="2">
        <f t="shared" si="28"/>
        <v>0</v>
      </c>
      <c r="AE47" s="2"/>
      <c r="AG47">
        <f t="shared" si="29"/>
        <v>2000</v>
      </c>
      <c r="AH47" s="6">
        <f t="shared" si="5"/>
        <v>0.17670686384650447</v>
      </c>
      <c r="AI47" s="6">
        <f t="shared" si="5"/>
        <v>0.29672745432168401</v>
      </c>
      <c r="AJ47" s="7"/>
      <c r="AK47" s="7"/>
      <c r="AL47" s="6">
        <f t="shared" si="30"/>
        <v>0.19511842073280869</v>
      </c>
      <c r="AM47" s="7"/>
      <c r="AN47" s="6">
        <f t="shared" si="31"/>
        <v>0.3314472610990028</v>
      </c>
      <c r="AO47" s="6">
        <f t="shared" si="32"/>
        <v>1</v>
      </c>
      <c r="AP47" s="7">
        <f t="shared" si="33"/>
        <v>0.6685527389009972</v>
      </c>
      <c r="AQ47" s="7">
        <f t="shared" si="34"/>
        <v>0</v>
      </c>
      <c r="AR47" s="24"/>
      <c r="AS47">
        <f t="shared" si="35"/>
        <v>2000</v>
      </c>
      <c r="AT47" s="1" t="b">
        <f t="shared" si="36"/>
        <v>1</v>
      </c>
      <c r="AU47" s="1" t="b">
        <f t="shared" si="37"/>
        <v>1</v>
      </c>
      <c r="AV47" s="1"/>
      <c r="AW47" s="1"/>
      <c r="AX47" s="1" t="b">
        <f t="shared" si="8"/>
        <v>1</v>
      </c>
      <c r="AY47" s="1"/>
      <c r="AZ47" s="1" t="b">
        <f t="shared" si="38"/>
        <v>1</v>
      </c>
      <c r="BA47" s="1" t="b">
        <f t="shared" si="39"/>
        <v>1</v>
      </c>
      <c r="BC47">
        <f t="shared" si="40"/>
        <v>2000</v>
      </c>
      <c r="BD47" s="2">
        <f t="shared" si="9"/>
        <v>33780.644029084528</v>
      </c>
      <c r="BE47" s="2">
        <f t="shared" si="9"/>
        <v>50670.96604362678</v>
      </c>
      <c r="BF47" s="2"/>
      <c r="BG47" s="2"/>
      <c r="BH47" s="2">
        <f t="shared" si="10"/>
        <v>33780.644029084528</v>
      </c>
      <c r="BI47" s="2"/>
      <c r="BJ47" s="2">
        <f t="shared" si="11"/>
        <v>50670.96604362678</v>
      </c>
      <c r="BK47" s="2">
        <f t="shared" si="41"/>
        <v>168903.22014542262</v>
      </c>
      <c r="BL47" s="2">
        <f t="shared" si="42"/>
        <v>0</v>
      </c>
      <c r="BM47" s="2"/>
    </row>
    <row r="48" spans="1:65" x14ac:dyDescent="0.25">
      <c r="A48">
        <f t="shared" si="6"/>
        <v>2001</v>
      </c>
      <c r="B48" s="2">
        <f t="shared" si="12"/>
        <v>29720.210616788569</v>
      </c>
      <c r="C48" s="2">
        <f t="shared" si="13"/>
        <v>50670.96604362678</v>
      </c>
      <c r="D48" s="2"/>
      <c r="E48" s="2"/>
      <c r="F48" s="2">
        <f t="shared" si="14"/>
        <v>33780.644029084528</v>
      </c>
      <c r="G48" s="2"/>
      <c r="H48" s="2">
        <f t="shared" si="15"/>
        <v>54942.52848110452</v>
      </c>
      <c r="I48" s="2">
        <f t="shared" si="43"/>
        <v>169114.3491706044</v>
      </c>
      <c r="J48" s="2">
        <f t="shared" si="16"/>
        <v>-5261.0964411787863</v>
      </c>
      <c r="K48" s="6">
        <f t="shared" si="17"/>
        <v>-3.017108528509059E-2</v>
      </c>
      <c r="L48" s="7">
        <f t="shared" si="18"/>
        <v>0.9698289147149094</v>
      </c>
      <c r="N48">
        <f t="shared" si="19"/>
        <v>2001</v>
      </c>
      <c r="O48" s="2">
        <f t="shared" si="20"/>
        <v>5658.2811322168336</v>
      </c>
      <c r="P48" s="2"/>
      <c r="Q48" s="2"/>
      <c r="R48">
        <f t="shared" si="21"/>
        <v>2001</v>
      </c>
      <c r="S48" s="2">
        <f t="shared" si="22"/>
        <v>28305.640333734362</v>
      </c>
      <c r="T48" s="2">
        <f t="shared" si="22"/>
        <v>49256.395760572574</v>
      </c>
      <c r="U48" s="2"/>
      <c r="V48" s="2"/>
      <c r="W48" s="2">
        <f t="shared" si="7"/>
        <v>32366.073746030321</v>
      </c>
      <c r="X48" s="2"/>
      <c r="Y48" s="2">
        <f t="shared" si="23"/>
        <v>53527.958198050314</v>
      </c>
      <c r="Z48" s="2">
        <f t="shared" si="24"/>
        <v>163456.06803838757</v>
      </c>
      <c r="AA48" s="2">
        <f t="shared" si="25"/>
        <v>-5447.1521070350427</v>
      </c>
      <c r="AB48" s="6">
        <f t="shared" si="26"/>
        <v>-3.2250137696280413E-2</v>
      </c>
      <c r="AC48" s="7">
        <f t="shared" si="27"/>
        <v>0.96774986230371962</v>
      </c>
      <c r="AD48" s="2">
        <f t="shared" si="28"/>
        <v>0</v>
      </c>
      <c r="AE48" s="2"/>
      <c r="AG48">
        <f t="shared" si="29"/>
        <v>2001</v>
      </c>
      <c r="AH48" s="6">
        <f t="shared" si="5"/>
        <v>0.17316971265384162</v>
      </c>
      <c r="AI48" s="6">
        <f t="shared" si="5"/>
        <v>0.30134332944436626</v>
      </c>
      <c r="AJ48" s="7"/>
      <c r="AK48" s="7"/>
      <c r="AL48" s="6">
        <f t="shared" si="30"/>
        <v>0.19801084251230835</v>
      </c>
      <c r="AM48" s="6"/>
      <c r="AN48" s="38">
        <f t="shared" si="31"/>
        <v>0.32747611538948374</v>
      </c>
      <c r="AO48" s="6">
        <f t="shared" si="32"/>
        <v>1</v>
      </c>
      <c r="AP48" s="7">
        <f t="shared" si="33"/>
        <v>0.67252388461051626</v>
      </c>
      <c r="AQ48" s="7">
        <f t="shared" si="34"/>
        <v>0</v>
      </c>
      <c r="AR48" s="24"/>
      <c r="AS48">
        <f t="shared" si="35"/>
        <v>2001</v>
      </c>
      <c r="AT48" s="1" t="b">
        <f t="shared" si="36"/>
        <v>1</v>
      </c>
      <c r="AU48" s="1" t="b">
        <f t="shared" si="37"/>
        <v>1</v>
      </c>
      <c r="AV48" s="1"/>
      <c r="AW48" s="1"/>
      <c r="AX48" s="1" t="b">
        <f t="shared" si="8"/>
        <v>1</v>
      </c>
      <c r="AY48" s="1"/>
      <c r="AZ48" s="1" t="b">
        <f t="shared" si="38"/>
        <v>1</v>
      </c>
      <c r="BA48" s="1" t="b">
        <f t="shared" si="39"/>
        <v>1</v>
      </c>
      <c r="BC48">
        <f t="shared" si="40"/>
        <v>2001</v>
      </c>
      <c r="BD48" s="2">
        <f t="shared" si="9"/>
        <v>32691.213607677517</v>
      </c>
      <c r="BE48" s="2">
        <f t="shared" si="9"/>
        <v>49036.820411516273</v>
      </c>
      <c r="BF48" s="2"/>
      <c r="BG48" s="2"/>
      <c r="BH48" s="2">
        <f t="shared" si="10"/>
        <v>32691.213607677517</v>
      </c>
      <c r="BI48" s="2"/>
      <c r="BJ48" s="2">
        <f t="shared" si="11"/>
        <v>49036.820411516273</v>
      </c>
      <c r="BK48" s="2">
        <f t="shared" si="41"/>
        <v>163456.06803838757</v>
      </c>
      <c r="BL48" s="2">
        <f t="shared" si="42"/>
        <v>0</v>
      </c>
      <c r="BM48" s="2"/>
    </row>
    <row r="49" spans="1:65" x14ac:dyDescent="0.25">
      <c r="A49">
        <f t="shared" si="6"/>
        <v>2002</v>
      </c>
      <c r="B49" s="2">
        <f t="shared" si="12"/>
        <v>25450.109793576947</v>
      </c>
      <c r="C49" s="2">
        <f t="shared" si="13"/>
        <v>49036.820411516273</v>
      </c>
      <c r="D49" s="2"/>
      <c r="E49" s="2"/>
      <c r="F49" s="2"/>
      <c r="G49" s="2">
        <f>BH48*(1+(G13/100))</f>
        <v>27760.397859231518</v>
      </c>
      <c r="H49" s="2">
        <f t="shared" si="15"/>
        <v>53087.26177750752</v>
      </c>
      <c r="I49" s="2">
        <f t="shared" si="43"/>
        <v>155334.58984183226</v>
      </c>
      <c r="J49" s="2">
        <f t="shared" si="16"/>
        <v>-13779.759328772139</v>
      </c>
      <c r="K49" s="6">
        <f t="shared" si="17"/>
        <v>-8.1481904973486119E-2</v>
      </c>
      <c r="L49" s="7">
        <f t="shared" si="18"/>
        <v>0.91851809502651394</v>
      </c>
      <c r="N49">
        <f t="shared" si="19"/>
        <v>2002</v>
      </c>
      <c r="O49" s="2">
        <f t="shared" si="20"/>
        <v>5748.8136303323026</v>
      </c>
      <c r="P49" s="2"/>
      <c r="Q49" s="2"/>
      <c r="R49">
        <f t="shared" si="21"/>
        <v>2002</v>
      </c>
      <c r="S49" s="2">
        <f t="shared" si="22"/>
        <v>24012.906385993872</v>
      </c>
      <c r="T49" s="2">
        <f t="shared" si="22"/>
        <v>47599.617003933199</v>
      </c>
      <c r="U49" s="2"/>
      <c r="V49" s="2"/>
      <c r="W49" s="2"/>
      <c r="X49" s="2">
        <f>G49-($O49/4)</f>
        <v>26323.194451648444</v>
      </c>
      <c r="Y49" s="2">
        <f t="shared" si="23"/>
        <v>51650.058369924445</v>
      </c>
      <c r="Z49" s="2">
        <f t="shared" si="24"/>
        <v>149585.77621149994</v>
      </c>
      <c r="AA49" s="2">
        <f t="shared" si="25"/>
        <v>-13870.291826887638</v>
      </c>
      <c r="AB49" s="6">
        <f t="shared" si="26"/>
        <v>-8.4856389813746214E-2</v>
      </c>
      <c r="AC49" s="7">
        <f t="shared" si="27"/>
        <v>0.91514361018625379</v>
      </c>
      <c r="AD49" s="2">
        <f t="shared" si="28"/>
        <v>0</v>
      </c>
      <c r="AE49" s="2"/>
      <c r="AG49">
        <f t="shared" si="29"/>
        <v>2002</v>
      </c>
      <c r="AH49" s="6">
        <f t="shared" si="5"/>
        <v>0.16052934305760413</v>
      </c>
      <c r="AI49" s="6">
        <f t="shared" si="5"/>
        <v>0.31820951302637163</v>
      </c>
      <c r="AJ49" s="7"/>
      <c r="AK49" s="7"/>
      <c r="AL49" s="6"/>
      <c r="AM49" s="6">
        <f t="shared" si="30"/>
        <v>0.17597391355198086</v>
      </c>
      <c r="AN49" s="6">
        <f t="shared" si="31"/>
        <v>0.34528723036404357</v>
      </c>
      <c r="AO49" s="6">
        <f t="shared" si="32"/>
        <v>1.0000000000000002</v>
      </c>
      <c r="AP49" s="7">
        <f t="shared" si="33"/>
        <v>0.65471276963595659</v>
      </c>
      <c r="AQ49" s="7">
        <f t="shared" si="34"/>
        <v>0</v>
      </c>
      <c r="AR49" s="24"/>
      <c r="AS49">
        <f t="shared" si="35"/>
        <v>2002</v>
      </c>
      <c r="AT49" s="1" t="b">
        <f t="shared" si="36"/>
        <v>1</v>
      </c>
      <c r="AU49" s="1" t="b">
        <f t="shared" si="37"/>
        <v>1</v>
      </c>
      <c r="AV49" s="1"/>
      <c r="AW49" s="1"/>
      <c r="AX49" s="1"/>
      <c r="AY49" s="1" t="b">
        <f t="shared" ref="AY49:AY67" si="44">AND((X49/$Z49)&gt;0.15,(X49/$Z49)&lt;0.25)</f>
        <v>1</v>
      </c>
      <c r="AZ49" s="1" t="b">
        <f t="shared" si="38"/>
        <v>1</v>
      </c>
      <c r="BA49" s="1" t="b">
        <f t="shared" si="39"/>
        <v>1</v>
      </c>
      <c r="BC49">
        <f t="shared" si="40"/>
        <v>2002</v>
      </c>
      <c r="BD49" s="2">
        <f t="shared" si="9"/>
        <v>29917.155242299988</v>
      </c>
      <c r="BE49" s="2">
        <f t="shared" si="9"/>
        <v>44875.732863449979</v>
      </c>
      <c r="BF49" s="2"/>
      <c r="BG49" s="2"/>
      <c r="BH49" s="2"/>
      <c r="BI49" s="2">
        <f>$BK49*BI$39</f>
        <v>29917.155242299988</v>
      </c>
      <c r="BJ49" s="2">
        <f t="shared" si="11"/>
        <v>44875.732863449979</v>
      </c>
      <c r="BK49" s="2">
        <f t="shared" si="41"/>
        <v>149585.77621149994</v>
      </c>
      <c r="BL49" s="2">
        <f t="shared" si="42"/>
        <v>0</v>
      </c>
      <c r="BM49" s="2"/>
    </row>
    <row r="50" spans="1:65" x14ac:dyDescent="0.25">
      <c r="A50">
        <f t="shared" si="6"/>
        <v>2003</v>
      </c>
      <c r="B50" s="2">
        <f t="shared" si="12"/>
        <v>38443.54448635548</v>
      </c>
      <c r="C50" s="2">
        <f t="shared" si="13"/>
        <v>44875.732863449979</v>
      </c>
      <c r="D50" s="2"/>
      <c r="E50" s="2"/>
      <c r="F50" s="2"/>
      <c r="G50" s="2">
        <f t="shared" ref="G50:G69" si="45">BI49*(1+(G14/100))</f>
        <v>41985.735667043802</v>
      </c>
      <c r="H50" s="2">
        <f t="shared" si="15"/>
        <v>46657.299458128946</v>
      </c>
      <c r="I50" s="2">
        <f t="shared" si="43"/>
        <v>171962.31247497821</v>
      </c>
      <c r="J50" s="2">
        <f t="shared" si="16"/>
        <v>16627.722633145953</v>
      </c>
      <c r="K50" s="6">
        <f t="shared" si="17"/>
        <v>0.10704455878164</v>
      </c>
      <c r="L50" s="7">
        <f t="shared" si="18"/>
        <v>1.10704455878164</v>
      </c>
      <c r="N50">
        <f t="shared" si="19"/>
        <v>2003</v>
      </c>
      <c r="O50" s="2">
        <f t="shared" si="20"/>
        <v>5892.5339710906101</v>
      </c>
      <c r="P50" s="2"/>
      <c r="Q50" s="2"/>
      <c r="R50">
        <f t="shared" si="21"/>
        <v>2003</v>
      </c>
      <c r="S50" s="2">
        <f>B50-($O50/4)</f>
        <v>36970.410993582831</v>
      </c>
      <c r="T50" s="2">
        <f>C50-($O50/4)</f>
        <v>43402.59937067733</v>
      </c>
      <c r="U50" s="2"/>
      <c r="V50" s="2"/>
      <c r="W50" s="2"/>
      <c r="X50" s="2">
        <f>G50-($O50/4)</f>
        <v>40512.602174271153</v>
      </c>
      <c r="Y50" s="2">
        <f>H50-($O50/4)</f>
        <v>45184.165965356297</v>
      </c>
      <c r="Z50" s="2">
        <f t="shared" si="24"/>
        <v>166069.77850388759</v>
      </c>
      <c r="AA50" s="2">
        <f t="shared" si="25"/>
        <v>16484.002292387653</v>
      </c>
      <c r="AB50" s="6">
        <f t="shared" si="26"/>
        <v>0.11019765856000142</v>
      </c>
      <c r="AC50" s="7">
        <f t="shared" si="27"/>
        <v>1.1101976585600015</v>
      </c>
      <c r="AD50" s="2">
        <f t="shared" si="28"/>
        <v>0</v>
      </c>
      <c r="AE50" s="2"/>
      <c r="AG50">
        <f t="shared" si="29"/>
        <v>2003</v>
      </c>
      <c r="AH50" s="38">
        <f t="shared" si="5"/>
        <v>0.22261974048888961</v>
      </c>
      <c r="AI50" s="6">
        <f t="shared" si="5"/>
        <v>0.26135158221856303</v>
      </c>
      <c r="AJ50" s="7"/>
      <c r="AK50" s="7"/>
      <c r="AL50" s="7"/>
      <c r="AM50" s="6">
        <f t="shared" si="30"/>
        <v>0.24394927565537025</v>
      </c>
      <c r="AN50" s="6">
        <f t="shared" si="31"/>
        <v>0.27207940163717725</v>
      </c>
      <c r="AO50" s="6">
        <f t="shared" si="32"/>
        <v>1</v>
      </c>
      <c r="AP50" s="7">
        <f t="shared" si="33"/>
        <v>0.72792059836282286</v>
      </c>
      <c r="AQ50" s="7">
        <f t="shared" si="34"/>
        <v>0</v>
      </c>
      <c r="AR50" s="24"/>
      <c r="AS50">
        <f t="shared" si="35"/>
        <v>2003</v>
      </c>
      <c r="AT50" s="1" t="b">
        <f t="shared" si="36"/>
        <v>1</v>
      </c>
      <c r="AU50" s="1" t="b">
        <f t="shared" si="37"/>
        <v>1</v>
      </c>
      <c r="AV50" s="1"/>
      <c r="AW50" s="1"/>
      <c r="AX50" s="1"/>
      <c r="AY50" s="1" t="b">
        <f t="shared" si="44"/>
        <v>1</v>
      </c>
      <c r="AZ50" s="1" t="b">
        <f t="shared" si="38"/>
        <v>1</v>
      </c>
      <c r="BA50" s="1" t="b">
        <f t="shared" si="39"/>
        <v>1</v>
      </c>
      <c r="BC50">
        <f t="shared" si="40"/>
        <v>2003</v>
      </c>
      <c r="BD50" s="2">
        <f t="shared" si="9"/>
        <v>33213.955700777522</v>
      </c>
      <c r="BE50" s="2">
        <f t="shared" si="9"/>
        <v>49820.933551166272</v>
      </c>
      <c r="BF50" s="2"/>
      <c r="BG50" s="2"/>
      <c r="BH50" s="2"/>
      <c r="BI50" s="2">
        <f>$BK50*BI$39</f>
        <v>33213.955700777522</v>
      </c>
      <c r="BJ50" s="2">
        <f t="shared" si="11"/>
        <v>49820.933551166272</v>
      </c>
      <c r="BK50" s="2">
        <f t="shared" si="41"/>
        <v>166069.77850388759</v>
      </c>
      <c r="BL50" s="2">
        <f t="shared" si="42"/>
        <v>0</v>
      </c>
      <c r="BM50" s="2"/>
    </row>
    <row r="51" spans="1:65" x14ac:dyDescent="0.25">
      <c r="A51">
        <f t="shared" si="6"/>
        <v>2004</v>
      </c>
      <c r="B51" s="2">
        <f t="shared" ref="B51:B69" si="46">BD50*(1+(B15/100))</f>
        <v>36781.134543041029</v>
      </c>
      <c r="C51" s="2"/>
      <c r="D51" s="2">
        <f>($BE50*0.67)*(1+(D15/100))</f>
        <v>40173.862065079542</v>
      </c>
      <c r="E51" s="2">
        <f>($BE50*0.33)*(1+(E15/100))</f>
        <v>19712.155550947806</v>
      </c>
      <c r="F51" s="2"/>
      <c r="G51" s="2">
        <f t="shared" si="45"/>
        <v>40134.747650148529</v>
      </c>
      <c r="H51" s="2">
        <f t="shared" si="15"/>
        <v>51933.341133735725</v>
      </c>
      <c r="I51" s="2">
        <f t="shared" si="43"/>
        <v>188735.24094295263</v>
      </c>
      <c r="J51" s="2">
        <f t="shared" si="16"/>
        <v>16772.928467974416</v>
      </c>
      <c r="K51" s="6">
        <f t="shared" si="17"/>
        <v>9.7538397958070039E-2</v>
      </c>
      <c r="L51" s="7">
        <f t="shared" si="18"/>
        <v>1.09753839795807</v>
      </c>
      <c r="N51">
        <f t="shared" si="19"/>
        <v>2004</v>
      </c>
      <c r="O51" s="2">
        <f t="shared" si="20"/>
        <v>6010.384650512422</v>
      </c>
      <c r="P51" s="2"/>
      <c r="Q51" s="2"/>
      <c r="R51">
        <f t="shared" si="21"/>
        <v>2004</v>
      </c>
      <c r="S51" s="2">
        <f>B51-($O51/5)</f>
        <v>35579.057612938544</v>
      </c>
      <c r="T51" s="2"/>
      <c r="U51" s="2">
        <f>D51-($O51/5)</f>
        <v>38971.785134977057</v>
      </c>
      <c r="V51" s="2">
        <f>E51-($O51/5)</f>
        <v>18510.078620845321</v>
      </c>
      <c r="W51" s="2"/>
      <c r="X51" s="2">
        <f>G51-($O51/5)</f>
        <v>38932.670720046044</v>
      </c>
      <c r="Y51" s="2">
        <f>H51-($O51/5)</f>
        <v>50731.26420363324</v>
      </c>
      <c r="Z51" s="2">
        <f t="shared" si="24"/>
        <v>182724.85629244021</v>
      </c>
      <c r="AA51" s="2">
        <f t="shared" si="25"/>
        <v>16655.077788552619</v>
      </c>
      <c r="AB51" s="6">
        <f t="shared" si="26"/>
        <v>0.10028963691405618</v>
      </c>
      <c r="AC51" s="7">
        <f t="shared" si="27"/>
        <v>1.1002896369140562</v>
      </c>
      <c r="AD51" s="2">
        <f t="shared" si="28"/>
        <v>0</v>
      </c>
      <c r="AE51" s="2"/>
      <c r="AG51">
        <f t="shared" si="29"/>
        <v>2004</v>
      </c>
      <c r="AH51" s="6">
        <f t="shared" si="5"/>
        <v>0.19471383551669835</v>
      </c>
      <c r="AI51" s="7"/>
      <c r="AJ51" s="6">
        <f t="shared" ref="AJ51:AK66" si="47">U51/$Z51</f>
        <v>0.21328124660065428</v>
      </c>
      <c r="AK51" s="6">
        <f t="shared" si="47"/>
        <v>0.10130027734826097</v>
      </c>
      <c r="AL51" s="7"/>
      <c r="AM51" s="6">
        <f t="shared" si="30"/>
        <v>0.21306718478265832</v>
      </c>
      <c r="AN51" s="6">
        <f t="shared" si="31"/>
        <v>0.2776374557517281</v>
      </c>
      <c r="AO51" s="6">
        <f t="shared" si="32"/>
        <v>1</v>
      </c>
      <c r="AP51" s="7">
        <f t="shared" si="33"/>
        <v>0.72236254424827184</v>
      </c>
      <c r="AQ51" s="7">
        <f t="shared" si="34"/>
        <v>0</v>
      </c>
      <c r="AR51" s="24"/>
      <c r="AS51">
        <f t="shared" si="35"/>
        <v>2004</v>
      </c>
      <c r="AT51" s="1" t="b">
        <f t="shared" si="36"/>
        <v>1</v>
      </c>
      <c r="AU51" s="1"/>
      <c r="AV51" s="1" t="b">
        <f>AND((U51/$Z51)&gt;0.15,(U51/$Z51)&lt;0.25)</f>
        <v>1</v>
      </c>
      <c r="AW51" s="1" t="b">
        <f>AND((V51/$Z51)&gt;0.05,(V51/$Z51)&lt;0.15)</f>
        <v>1</v>
      </c>
      <c r="AX51" s="1"/>
      <c r="AY51" s="1" t="b">
        <f t="shared" si="44"/>
        <v>1</v>
      </c>
      <c r="AZ51" s="1" t="b">
        <f t="shared" si="38"/>
        <v>1</v>
      </c>
      <c r="BA51" s="1" t="b">
        <f t="shared" si="39"/>
        <v>1</v>
      </c>
      <c r="BC51">
        <f t="shared" si="40"/>
        <v>2004</v>
      </c>
      <c r="BD51" s="2">
        <f>$BK51*BD$39</f>
        <v>36544.97125848804</v>
      </c>
      <c r="BE51" s="2"/>
      <c r="BF51" s="2">
        <f t="shared" ref="BF51:BG66" si="48">$BK51*BF$39</f>
        <v>36544.97125848804</v>
      </c>
      <c r="BG51" s="2">
        <f t="shared" si="48"/>
        <v>18272.48562924402</v>
      </c>
      <c r="BH51" s="2"/>
      <c r="BI51" s="2">
        <f>$BK51*BI$39</f>
        <v>36544.97125848804</v>
      </c>
      <c r="BJ51" s="2">
        <f t="shared" ref="BJ51:BJ69" si="49">$BK51*BJ$39</f>
        <v>54817.456887732063</v>
      </c>
      <c r="BK51" s="2">
        <f t="shared" si="41"/>
        <v>182724.85629244021</v>
      </c>
      <c r="BL51" s="2">
        <f t="shared" si="42"/>
        <v>0</v>
      </c>
      <c r="BM51" s="2"/>
    </row>
    <row r="52" spans="1:65" x14ac:dyDescent="0.25">
      <c r="A52">
        <f t="shared" si="6"/>
        <v>2005</v>
      </c>
      <c r="B52" s="2">
        <f t="shared" si="46"/>
        <v>38288.166387517922</v>
      </c>
      <c r="C52" s="2"/>
      <c r="D52" s="2">
        <f t="shared" ref="D52:D69" si="50">BF51*(1+(D16/100))</f>
        <v>41636.05120450801</v>
      </c>
      <c r="E52" s="2">
        <f t="shared" ref="E52:E69" si="51">BG51*(1+(E16/100))</f>
        <v>19617.88874612526</v>
      </c>
      <c r="F52" s="2"/>
      <c r="G52" s="2">
        <f t="shared" si="45"/>
        <v>42235.388733147214</v>
      </c>
      <c r="H52" s="2">
        <f t="shared" si="15"/>
        <v>56133.075853037633</v>
      </c>
      <c r="I52" s="2">
        <f t="shared" si="43"/>
        <v>197910.57092433603</v>
      </c>
      <c r="J52" s="2">
        <f t="shared" si="16"/>
        <v>9175.3299813834019</v>
      </c>
      <c r="K52" s="6">
        <f t="shared" si="17"/>
        <v>4.8614821140672664E-2</v>
      </c>
      <c r="L52" s="7">
        <f t="shared" si="18"/>
        <v>1.0486148211406727</v>
      </c>
      <c r="N52">
        <f t="shared" si="19"/>
        <v>2005</v>
      </c>
      <c r="O52" s="2">
        <f t="shared" si="20"/>
        <v>6208.7273439793316</v>
      </c>
      <c r="P52" s="2"/>
      <c r="Q52" s="2"/>
      <c r="R52">
        <f t="shared" si="21"/>
        <v>2005</v>
      </c>
      <c r="S52" s="2">
        <f t="shared" ref="S52:S67" si="52">B52-($O52/5)</f>
        <v>37046.420918722055</v>
      </c>
      <c r="T52" s="2"/>
      <c r="U52" s="2">
        <f t="shared" ref="U52:V67" si="53">D52-($O52/5)</f>
        <v>40394.305735712143</v>
      </c>
      <c r="V52" s="2">
        <f t="shared" si="53"/>
        <v>18376.143277329393</v>
      </c>
      <c r="W52" s="2"/>
      <c r="X52" s="2">
        <f t="shared" ref="X52:Y67" si="54">G52-($O52/5)</f>
        <v>40993.643264351347</v>
      </c>
      <c r="Y52" s="2">
        <f t="shared" si="54"/>
        <v>54891.330384241766</v>
      </c>
      <c r="Z52" s="2">
        <f t="shared" si="24"/>
        <v>191701.84358035671</v>
      </c>
      <c r="AA52" s="2">
        <f t="shared" si="25"/>
        <v>8976.987287916505</v>
      </c>
      <c r="AB52" s="6">
        <f t="shared" si="26"/>
        <v>4.9128440815678485E-2</v>
      </c>
      <c r="AC52" s="7">
        <f t="shared" si="27"/>
        <v>1.0491284408156785</v>
      </c>
      <c r="AD52" s="2">
        <f t="shared" si="28"/>
        <v>0</v>
      </c>
      <c r="AE52" s="2"/>
      <c r="AG52">
        <f t="shared" si="29"/>
        <v>2005</v>
      </c>
      <c r="AH52" s="6">
        <f t="shared" si="5"/>
        <v>0.19325020681500699</v>
      </c>
      <c r="AI52" s="7"/>
      <c r="AJ52" s="6">
        <f t="shared" si="47"/>
        <v>0.21071422674545037</v>
      </c>
      <c r="AK52" s="6">
        <f t="shared" si="47"/>
        <v>9.585793717015853E-2</v>
      </c>
      <c r="AL52" s="7"/>
      <c r="AM52" s="6">
        <f t="shared" si="30"/>
        <v>0.21384063136131404</v>
      </c>
      <c r="AN52" s="6">
        <f t="shared" si="31"/>
        <v>0.28633699790807005</v>
      </c>
      <c r="AO52" s="6">
        <f t="shared" si="32"/>
        <v>1</v>
      </c>
      <c r="AP52" s="7">
        <f t="shared" si="33"/>
        <v>0.7136630020919299</v>
      </c>
      <c r="AQ52" s="7">
        <f t="shared" si="34"/>
        <v>0</v>
      </c>
      <c r="AR52" s="24"/>
      <c r="AS52">
        <f t="shared" si="35"/>
        <v>2005</v>
      </c>
      <c r="AT52" s="1" t="b">
        <f t="shared" si="36"/>
        <v>1</v>
      </c>
      <c r="AU52" s="1"/>
      <c r="AV52" s="1" t="b">
        <f t="shared" ref="AV52:AV67" si="55">AND((U52/$Z52)&gt;0.15,(U52/$Z52)&lt;0.25)</f>
        <v>1</v>
      </c>
      <c r="AW52" s="1" t="b">
        <f t="shared" ref="AW52:AW67" si="56">AND((V52/$Z52)&gt;0.05,(V52/$Z52)&lt;0.15)</f>
        <v>1</v>
      </c>
      <c r="AX52" s="1"/>
      <c r="AY52" s="1" t="b">
        <f t="shared" si="44"/>
        <v>1</v>
      </c>
      <c r="AZ52" s="1" t="b">
        <f t="shared" si="38"/>
        <v>1</v>
      </c>
      <c r="BA52" s="1" t="b">
        <f t="shared" si="39"/>
        <v>1</v>
      </c>
      <c r="BC52">
        <f t="shared" si="40"/>
        <v>2005</v>
      </c>
      <c r="BD52" s="2">
        <f>$BK52*BD$39</f>
        <v>38340.368716071345</v>
      </c>
      <c r="BE52" s="2"/>
      <c r="BF52" s="2">
        <f t="shared" si="48"/>
        <v>38340.368716071345</v>
      </c>
      <c r="BG52" s="2">
        <f t="shared" si="48"/>
        <v>19170.184358035673</v>
      </c>
      <c r="BH52" s="2"/>
      <c r="BI52" s="2">
        <f>$BK52*BI$39</f>
        <v>38340.368716071345</v>
      </c>
      <c r="BJ52" s="2">
        <f t="shared" si="49"/>
        <v>57510.553074107011</v>
      </c>
      <c r="BK52" s="2">
        <f t="shared" si="41"/>
        <v>191701.84358035671</v>
      </c>
      <c r="BL52" s="2">
        <f t="shared" si="42"/>
        <v>0</v>
      </c>
      <c r="BM52" s="2"/>
    </row>
    <row r="53" spans="1:65" x14ac:dyDescent="0.25">
      <c r="A53">
        <f t="shared" si="6"/>
        <v>2006</v>
      </c>
      <c r="B53" s="2">
        <f t="shared" si="46"/>
        <v>44336.802383264905</v>
      </c>
      <c r="C53" s="2"/>
      <c r="D53" s="2">
        <f t="shared" si="50"/>
        <v>43553.508650395561</v>
      </c>
      <c r="E53" s="2">
        <f t="shared" si="51"/>
        <v>22171.468421129739</v>
      </c>
      <c r="F53" s="2"/>
      <c r="G53" s="2">
        <f t="shared" si="45"/>
        <v>48553.092730971272</v>
      </c>
      <c r="H53" s="2">
        <f t="shared" si="15"/>
        <v>59966.253690371377</v>
      </c>
      <c r="I53" s="2">
        <f t="shared" si="43"/>
        <v>218581.12587613284</v>
      </c>
      <c r="J53" s="2">
        <f t="shared" si="16"/>
        <v>20670.554951796803</v>
      </c>
      <c r="K53" s="6">
        <f t="shared" si="17"/>
        <v>0.10444391552839007</v>
      </c>
      <c r="L53" s="7">
        <f t="shared" si="18"/>
        <v>1.1044439155283901</v>
      </c>
      <c r="N53">
        <f t="shared" si="19"/>
        <v>2006</v>
      </c>
      <c r="O53" s="2">
        <f t="shared" si="20"/>
        <v>6413.6153463306491</v>
      </c>
      <c r="P53" s="2"/>
      <c r="Q53" s="2"/>
      <c r="R53">
        <f t="shared" si="21"/>
        <v>2006</v>
      </c>
      <c r="S53" s="2">
        <f t="shared" si="52"/>
        <v>43054.079313998773</v>
      </c>
      <c r="T53" s="2"/>
      <c r="U53" s="2">
        <f t="shared" si="53"/>
        <v>42270.785581129428</v>
      </c>
      <c r="V53" s="2">
        <f t="shared" si="53"/>
        <v>20888.74535186361</v>
      </c>
      <c r="W53" s="2"/>
      <c r="X53" s="2">
        <f t="shared" si="54"/>
        <v>47270.369661705139</v>
      </c>
      <c r="Y53" s="2">
        <f t="shared" si="54"/>
        <v>58683.530621105245</v>
      </c>
      <c r="Z53" s="2">
        <f t="shared" si="24"/>
        <v>212167.51052980221</v>
      </c>
      <c r="AA53" s="2">
        <f t="shared" si="25"/>
        <v>20465.666949445498</v>
      </c>
      <c r="AB53" s="6">
        <f t="shared" si="26"/>
        <v>0.10675779933679559</v>
      </c>
      <c r="AC53" s="7">
        <f t="shared" si="27"/>
        <v>1.1067577993367956</v>
      </c>
      <c r="AD53" s="2">
        <f t="shared" si="28"/>
        <v>0</v>
      </c>
      <c r="AE53" s="2"/>
      <c r="AG53">
        <f t="shared" si="29"/>
        <v>2006</v>
      </c>
      <c r="AH53" s="6">
        <f t="shared" si="5"/>
        <v>0.20292493985760918</v>
      </c>
      <c r="AI53" s="7"/>
      <c r="AJ53" s="6">
        <f t="shared" si="47"/>
        <v>0.19923307520352812</v>
      </c>
      <c r="AK53" s="6">
        <f t="shared" si="47"/>
        <v>9.8454024839630019E-2</v>
      </c>
      <c r="AL53" s="7"/>
      <c r="AM53" s="6">
        <f t="shared" si="30"/>
        <v>0.2227973997699581</v>
      </c>
      <c r="AN53" s="59">
        <f t="shared" si="31"/>
        <v>0.27659056032927454</v>
      </c>
      <c r="AO53" s="6">
        <f t="shared" si="32"/>
        <v>0.99999999999999989</v>
      </c>
      <c r="AP53" s="7">
        <f t="shared" si="33"/>
        <v>0.72340943967072535</v>
      </c>
      <c r="AQ53" s="7">
        <f t="shared" si="34"/>
        <v>0</v>
      </c>
      <c r="AR53" s="24"/>
      <c r="AS53">
        <f t="shared" si="35"/>
        <v>2006</v>
      </c>
      <c r="AT53" s="1" t="b">
        <f t="shared" si="36"/>
        <v>1</v>
      </c>
      <c r="AU53" s="1"/>
      <c r="AV53" s="1" t="b">
        <f t="shared" si="55"/>
        <v>1</v>
      </c>
      <c r="AW53" s="1" t="b">
        <f t="shared" si="56"/>
        <v>1</v>
      </c>
      <c r="AX53" s="1"/>
      <c r="AY53" s="1" t="b">
        <f t="shared" si="44"/>
        <v>1</v>
      </c>
      <c r="AZ53" s="1" t="b">
        <f t="shared" si="38"/>
        <v>1</v>
      </c>
      <c r="BA53" s="1" t="b">
        <f t="shared" si="39"/>
        <v>1</v>
      </c>
      <c r="BC53">
        <f t="shared" si="40"/>
        <v>2006</v>
      </c>
      <c r="BD53" s="2">
        <f t="shared" ref="BD53:BD69" si="57">$BK53*BD$39</f>
        <v>42433.502105960448</v>
      </c>
      <c r="BE53" s="2"/>
      <c r="BF53" s="2">
        <f t="shared" si="48"/>
        <v>42433.502105960448</v>
      </c>
      <c r="BG53" s="2">
        <f t="shared" si="48"/>
        <v>21216.751052980224</v>
      </c>
      <c r="BH53" s="2"/>
      <c r="BI53" s="2">
        <f t="shared" ref="BI53:BI69" si="58">$BK53*BI$39</f>
        <v>42433.502105960448</v>
      </c>
      <c r="BJ53" s="2">
        <f t="shared" si="49"/>
        <v>63650.253158940657</v>
      </c>
      <c r="BK53" s="2">
        <f t="shared" si="41"/>
        <v>212167.51052980221</v>
      </c>
      <c r="BL53" s="2">
        <f t="shared" si="42"/>
        <v>0</v>
      </c>
      <c r="BM53" s="2"/>
    </row>
    <row r="54" spans="1:65" x14ac:dyDescent="0.25">
      <c r="A54">
        <f t="shared" si="6"/>
        <v>2007</v>
      </c>
      <c r="B54" s="2">
        <f t="shared" si="46"/>
        <v>44720.667869471719</v>
      </c>
      <c r="C54" s="2"/>
      <c r="D54" s="2">
        <f t="shared" si="50"/>
        <v>44988.423267760329</v>
      </c>
      <c r="E54" s="2">
        <f t="shared" si="51"/>
        <v>21462.016695152677</v>
      </c>
      <c r="F54" s="2"/>
      <c r="G54" s="2">
        <f t="shared" si="45"/>
        <v>49020.030302847626</v>
      </c>
      <c r="H54" s="2">
        <f t="shared" si="15"/>
        <v>68054.850677539347</v>
      </c>
      <c r="I54" s="2">
        <f t="shared" si="43"/>
        <v>228245.98881277168</v>
      </c>
      <c r="J54" s="2">
        <f t="shared" si="16"/>
        <v>9664.8629366388486</v>
      </c>
      <c r="K54" s="6">
        <f t="shared" si="17"/>
        <v>4.4216365424505154E-2</v>
      </c>
      <c r="L54" s="7">
        <f t="shared" si="18"/>
        <v>1.0442163654245051</v>
      </c>
      <c r="N54">
        <f t="shared" si="19"/>
        <v>2007</v>
      </c>
      <c r="O54" s="2">
        <f t="shared" si="20"/>
        <v>6573.9557299889148</v>
      </c>
      <c r="P54" s="2"/>
      <c r="Q54" s="2"/>
      <c r="R54">
        <f t="shared" si="21"/>
        <v>2007</v>
      </c>
      <c r="S54" s="2">
        <f t="shared" si="52"/>
        <v>43405.876723473935</v>
      </c>
      <c r="T54" s="2"/>
      <c r="U54" s="2">
        <f t="shared" si="53"/>
        <v>43673.632121762545</v>
      </c>
      <c r="V54" s="2">
        <f t="shared" si="53"/>
        <v>20147.225549154893</v>
      </c>
      <c r="W54" s="2"/>
      <c r="X54" s="2">
        <f t="shared" si="54"/>
        <v>47705.239156849842</v>
      </c>
      <c r="Y54" s="2">
        <f t="shared" si="54"/>
        <v>66740.05953154157</v>
      </c>
      <c r="Z54" s="2">
        <f t="shared" si="24"/>
        <v>221672.03308278279</v>
      </c>
      <c r="AA54" s="2">
        <f t="shared" si="25"/>
        <v>9504.5225529805757</v>
      </c>
      <c r="AB54" s="6">
        <f t="shared" si="26"/>
        <v>4.4797257267368079E-2</v>
      </c>
      <c r="AC54" s="7">
        <f t="shared" si="27"/>
        <v>1.0447972572673681</v>
      </c>
      <c r="AD54" s="2">
        <f t="shared" si="28"/>
        <v>0</v>
      </c>
      <c r="AE54" s="2"/>
      <c r="AG54">
        <f t="shared" si="29"/>
        <v>2007</v>
      </c>
      <c r="AH54" s="6">
        <f t="shared" si="5"/>
        <v>0.19581124474671163</v>
      </c>
      <c r="AI54" s="7"/>
      <c r="AJ54" s="6">
        <f t="shared" si="47"/>
        <v>0.19701913459445175</v>
      </c>
      <c r="AK54" s="6">
        <f t="shared" si="47"/>
        <v>9.0887538987071817E-2</v>
      </c>
      <c r="AL54" s="7"/>
      <c r="AM54" s="38">
        <f t="shared" si="30"/>
        <v>0.21520639520202559</v>
      </c>
      <c r="AN54" s="38">
        <f t="shared" si="31"/>
        <v>0.3010756864697392</v>
      </c>
      <c r="AO54" s="6">
        <f t="shared" si="32"/>
        <v>1</v>
      </c>
      <c r="AP54" s="7">
        <f t="shared" si="33"/>
        <v>0.69892431353026074</v>
      </c>
      <c r="AQ54" s="7">
        <f t="shared" si="34"/>
        <v>0</v>
      </c>
      <c r="AR54" s="24"/>
      <c r="AS54">
        <f t="shared" si="35"/>
        <v>2007</v>
      </c>
      <c r="AT54" s="1" t="b">
        <f t="shared" si="36"/>
        <v>1</v>
      </c>
      <c r="AU54" s="1"/>
      <c r="AV54" s="1" t="b">
        <f t="shared" si="55"/>
        <v>1</v>
      </c>
      <c r="AW54" s="1" t="b">
        <f t="shared" si="56"/>
        <v>1</v>
      </c>
      <c r="AX54" s="1"/>
      <c r="AY54" s="1" t="b">
        <f t="shared" si="44"/>
        <v>1</v>
      </c>
      <c r="AZ54" s="39" t="b">
        <f t="shared" si="38"/>
        <v>1</v>
      </c>
      <c r="BA54" s="1" t="b">
        <f t="shared" si="39"/>
        <v>1</v>
      </c>
      <c r="BC54">
        <f t="shared" si="40"/>
        <v>2007</v>
      </c>
      <c r="BD54" s="2">
        <f t="shared" si="57"/>
        <v>44334.40661655656</v>
      </c>
      <c r="BE54" s="2"/>
      <c r="BF54" s="2">
        <f t="shared" si="48"/>
        <v>44334.40661655656</v>
      </c>
      <c r="BG54" s="2">
        <f t="shared" si="48"/>
        <v>22167.20330827828</v>
      </c>
      <c r="BH54" s="2"/>
      <c r="BI54" s="2">
        <f t="shared" si="58"/>
        <v>44334.40661655656</v>
      </c>
      <c r="BJ54" s="2">
        <f t="shared" si="49"/>
        <v>66501.609924834833</v>
      </c>
      <c r="BK54" s="2">
        <f t="shared" si="41"/>
        <v>221672.03308278279</v>
      </c>
      <c r="BL54" s="2">
        <f t="shared" si="42"/>
        <v>0</v>
      </c>
      <c r="BM54" s="2"/>
    </row>
    <row r="55" spans="1:65" x14ac:dyDescent="0.25">
      <c r="A55">
        <f t="shared" si="6"/>
        <v>2008</v>
      </c>
      <c r="B55" s="2">
        <f t="shared" si="46"/>
        <v>27921.809287107317</v>
      </c>
      <c r="C55" s="2"/>
      <c r="D55" s="2">
        <f t="shared" si="50"/>
        <v>25791.984393247945</v>
      </c>
      <c r="E55" s="2">
        <f t="shared" si="51"/>
        <v>14171.493074982303</v>
      </c>
      <c r="F55" s="2"/>
      <c r="G55" s="2">
        <f t="shared" si="45"/>
        <v>24782.489954588949</v>
      </c>
      <c r="H55" s="2">
        <f t="shared" si="15"/>
        <v>69859.941226038995</v>
      </c>
      <c r="I55" s="2">
        <f t="shared" si="43"/>
        <v>162527.71793596551</v>
      </c>
      <c r="J55" s="2">
        <f t="shared" si="16"/>
        <v>-65718.270876806171</v>
      </c>
      <c r="K55" s="6">
        <f t="shared" si="17"/>
        <v>-0.2879273857939047</v>
      </c>
      <c r="L55" s="7">
        <f t="shared" si="18"/>
        <v>0.71207261420609536</v>
      </c>
      <c r="N55">
        <f t="shared" si="19"/>
        <v>2008</v>
      </c>
      <c r="O55" s="2">
        <f t="shared" si="20"/>
        <v>6843.4879149184599</v>
      </c>
      <c r="P55" s="2"/>
      <c r="Q55" s="2"/>
      <c r="R55">
        <f t="shared" si="21"/>
        <v>2008</v>
      </c>
      <c r="S55" s="2">
        <f t="shared" si="52"/>
        <v>26553.111704123625</v>
      </c>
      <c r="T55" s="2"/>
      <c r="U55" s="2">
        <f t="shared" si="53"/>
        <v>24423.286810264253</v>
      </c>
      <c r="V55" s="2">
        <f t="shared" si="53"/>
        <v>12802.795491998611</v>
      </c>
      <c r="W55" s="2"/>
      <c r="X55" s="2">
        <f t="shared" si="54"/>
        <v>23413.792371605257</v>
      </c>
      <c r="Y55" s="2">
        <f t="shared" si="54"/>
        <v>68491.243643055306</v>
      </c>
      <c r="Z55" s="2">
        <f t="shared" si="24"/>
        <v>155684.23002104706</v>
      </c>
      <c r="AA55" s="2">
        <f t="shared" si="25"/>
        <v>-65987.803061735729</v>
      </c>
      <c r="AB55" s="6">
        <f t="shared" si="26"/>
        <v>-0.2976821304160312</v>
      </c>
      <c r="AC55" s="7">
        <f t="shared" si="27"/>
        <v>0.7023178695839688</v>
      </c>
      <c r="AD55" s="2">
        <f t="shared" si="28"/>
        <v>0</v>
      </c>
      <c r="AE55" s="2"/>
      <c r="AG55">
        <f t="shared" si="29"/>
        <v>2008</v>
      </c>
      <c r="AH55" s="6">
        <f t="shared" ref="AH55:AH67" si="59">S55/$Z55</f>
        <v>0.1705574912791995</v>
      </c>
      <c r="AI55" s="7"/>
      <c r="AJ55" s="6">
        <f t="shared" si="47"/>
        <v>0.15687707616219351</v>
      </c>
      <c r="AK55" s="6">
        <f t="shared" si="47"/>
        <v>8.2235660543574604E-2</v>
      </c>
      <c r="AL55" s="7"/>
      <c r="AM55" s="6">
        <f t="shared" si="30"/>
        <v>0.15039283277721791</v>
      </c>
      <c r="AN55" s="38">
        <f t="shared" si="31"/>
        <v>0.43993693923781446</v>
      </c>
      <c r="AO55" s="6">
        <f t="shared" si="32"/>
        <v>1</v>
      </c>
      <c r="AP55" s="7">
        <f t="shared" si="33"/>
        <v>0.56006306076218548</v>
      </c>
      <c r="AQ55" s="7">
        <f t="shared" si="34"/>
        <v>0</v>
      </c>
      <c r="AR55" s="24"/>
      <c r="AS55">
        <f t="shared" si="35"/>
        <v>2008</v>
      </c>
      <c r="AT55" s="1" t="b">
        <f t="shared" si="36"/>
        <v>1</v>
      </c>
      <c r="AV55" s="1" t="b">
        <f t="shared" si="55"/>
        <v>1</v>
      </c>
      <c r="AW55" s="1" t="b">
        <f t="shared" si="56"/>
        <v>1</v>
      </c>
      <c r="AY55" s="1" t="b">
        <f t="shared" si="44"/>
        <v>1</v>
      </c>
      <c r="AZ55" s="39" t="b">
        <f t="shared" si="38"/>
        <v>0</v>
      </c>
      <c r="BA55" s="1" t="b">
        <f t="shared" si="39"/>
        <v>1</v>
      </c>
      <c r="BC55">
        <f t="shared" si="40"/>
        <v>2008</v>
      </c>
      <c r="BD55" s="2">
        <f t="shared" si="57"/>
        <v>31136.846004209412</v>
      </c>
      <c r="BE55" s="2"/>
      <c r="BF55" s="2">
        <f t="shared" si="48"/>
        <v>31136.846004209412</v>
      </c>
      <c r="BG55" s="2">
        <f t="shared" si="48"/>
        <v>15568.423002104706</v>
      </c>
      <c r="BH55" s="2"/>
      <c r="BI55" s="2">
        <f t="shared" si="58"/>
        <v>31136.846004209412</v>
      </c>
      <c r="BJ55" s="2">
        <f t="shared" si="49"/>
        <v>46705.269006314113</v>
      </c>
      <c r="BK55" s="2">
        <f t="shared" si="41"/>
        <v>155684.23002104706</v>
      </c>
      <c r="BL55" s="2">
        <f t="shared" si="42"/>
        <v>0</v>
      </c>
      <c r="BM55" s="2"/>
    </row>
    <row r="56" spans="1:65" x14ac:dyDescent="0.25">
      <c r="A56">
        <f t="shared" si="6"/>
        <v>2009</v>
      </c>
      <c r="B56" s="2">
        <f t="shared" si="46"/>
        <v>39384.996510724486</v>
      </c>
      <c r="C56" s="2"/>
      <c r="D56" s="2">
        <f t="shared" si="50"/>
        <v>43659.462730182349</v>
      </c>
      <c r="E56" s="2">
        <f t="shared" si="51"/>
        <v>21191.426022004885</v>
      </c>
      <c r="F56" s="2"/>
      <c r="G56" s="2">
        <f t="shared" si="45"/>
        <v>42572.475436175402</v>
      </c>
      <c r="H56" s="2">
        <f t="shared" si="15"/>
        <v>49474.891458388534</v>
      </c>
      <c r="I56" s="2">
        <f t="shared" si="43"/>
        <v>196283.25215747568</v>
      </c>
      <c r="J56" s="2">
        <f>I56-I55</f>
        <v>33755.53422151017</v>
      </c>
      <c r="K56" s="6">
        <f>(J56/I55)</f>
        <v>0.20769093819928949</v>
      </c>
      <c r="L56" s="7">
        <f t="shared" si="18"/>
        <v>1.2076909381992895</v>
      </c>
      <c r="N56">
        <f t="shared" si="19"/>
        <v>2009</v>
      </c>
      <c r="O56" s="2">
        <f t="shared" si="20"/>
        <v>6843.4879149184599</v>
      </c>
      <c r="P56" s="2"/>
      <c r="Q56" s="2"/>
      <c r="R56">
        <f t="shared" si="21"/>
        <v>2009</v>
      </c>
      <c r="S56" s="2">
        <f t="shared" si="52"/>
        <v>38016.298927740791</v>
      </c>
      <c r="T56" s="2"/>
      <c r="U56" s="2">
        <f t="shared" si="53"/>
        <v>42290.765147198661</v>
      </c>
      <c r="V56" s="2">
        <f t="shared" si="53"/>
        <v>19822.728439021193</v>
      </c>
      <c r="W56" s="2"/>
      <c r="X56" s="2">
        <f t="shared" si="54"/>
        <v>41203.777853191714</v>
      </c>
      <c r="Y56" s="2">
        <f t="shared" si="54"/>
        <v>48106.193875404846</v>
      </c>
      <c r="Z56" s="2">
        <f t="shared" si="24"/>
        <v>189439.76424255723</v>
      </c>
      <c r="AA56" s="2">
        <f>Z56-Z55</f>
        <v>33755.53422151017</v>
      </c>
      <c r="AB56" s="6">
        <f>(AA56/Z55)</f>
        <v>0.21682051044570627</v>
      </c>
      <c r="AC56" s="7">
        <f t="shared" si="27"/>
        <v>1.2168205104457064</v>
      </c>
      <c r="AD56" s="2">
        <f t="shared" si="28"/>
        <v>0</v>
      </c>
      <c r="AE56" s="2"/>
      <c r="AG56">
        <f t="shared" si="29"/>
        <v>2009</v>
      </c>
      <c r="AH56" s="6">
        <f t="shared" si="59"/>
        <v>0.20067750337286638</v>
      </c>
      <c r="AI56" s="7"/>
      <c r="AJ56" s="6">
        <f t="shared" si="47"/>
        <v>0.22324122560166348</v>
      </c>
      <c r="AK56" s="6">
        <f t="shared" si="47"/>
        <v>0.10463868828320713</v>
      </c>
      <c r="AL56" s="7"/>
      <c r="AM56" s="6">
        <f t="shared" si="30"/>
        <v>0.21750332100516506</v>
      </c>
      <c r="AN56" s="6">
        <f t="shared" si="31"/>
        <v>0.25393926173709785</v>
      </c>
      <c r="AO56" s="6">
        <f t="shared" si="32"/>
        <v>1</v>
      </c>
      <c r="AP56" s="7">
        <f t="shared" si="33"/>
        <v>0.74606073826290209</v>
      </c>
      <c r="AQ56" s="7">
        <f t="shared" si="34"/>
        <v>0</v>
      </c>
      <c r="AR56" s="24"/>
      <c r="AS56">
        <f t="shared" si="35"/>
        <v>2009</v>
      </c>
      <c r="AT56" s="1" t="b">
        <f t="shared" si="36"/>
        <v>1</v>
      </c>
      <c r="AV56" s="1" t="b">
        <f t="shared" si="55"/>
        <v>1</v>
      </c>
      <c r="AW56" s="1" t="b">
        <f t="shared" si="56"/>
        <v>1</v>
      </c>
      <c r="AY56" s="1" t="b">
        <f t="shared" si="44"/>
        <v>1</v>
      </c>
      <c r="AZ56" s="1" t="b">
        <f t="shared" si="38"/>
        <v>1</v>
      </c>
      <c r="BA56" s="1" t="b">
        <f t="shared" si="39"/>
        <v>1</v>
      </c>
      <c r="BC56">
        <f t="shared" si="40"/>
        <v>2009</v>
      </c>
      <c r="BD56" s="2">
        <f t="shared" si="57"/>
        <v>37887.95284851145</v>
      </c>
      <c r="BE56" s="2"/>
      <c r="BF56" s="2">
        <f t="shared" si="48"/>
        <v>37887.95284851145</v>
      </c>
      <c r="BG56" s="2">
        <f t="shared" si="48"/>
        <v>18943.976424255725</v>
      </c>
      <c r="BH56" s="2"/>
      <c r="BI56" s="2">
        <f t="shared" si="58"/>
        <v>37887.95284851145</v>
      </c>
      <c r="BJ56" s="2">
        <f t="shared" si="49"/>
        <v>56831.929272767164</v>
      </c>
      <c r="BK56" s="2">
        <f t="shared" si="41"/>
        <v>189439.76424255723</v>
      </c>
      <c r="BL56" s="2">
        <f t="shared" si="42"/>
        <v>0</v>
      </c>
      <c r="BM56" s="2"/>
    </row>
    <row r="57" spans="1:65" x14ac:dyDescent="0.25">
      <c r="A57">
        <f t="shared" si="6"/>
        <v>2010</v>
      </c>
      <c r="B57" s="2">
        <f t="shared" si="46"/>
        <v>43537.046618224507</v>
      </c>
      <c r="C57" s="2"/>
      <c r="D57" s="2">
        <f t="shared" si="50"/>
        <v>47534.225643742466</v>
      </c>
      <c r="E57" s="2">
        <f t="shared" si="51"/>
        <v>24195.246689059415</v>
      </c>
      <c r="F57" s="2"/>
      <c r="G57" s="2">
        <f t="shared" si="45"/>
        <v>42101.093205265919</v>
      </c>
      <c r="H57" s="2">
        <f t="shared" si="15"/>
        <v>60480.539132078819</v>
      </c>
      <c r="I57" s="2">
        <f t="shared" si="43"/>
        <v>217848.15128837113</v>
      </c>
      <c r="J57" s="2">
        <f t="shared" si="16"/>
        <v>21564.899130895443</v>
      </c>
      <c r="K57" s="6">
        <f t="shared" si="17"/>
        <v>0.1098662208510494</v>
      </c>
      <c r="L57" s="7">
        <f t="shared" si="18"/>
        <v>1.1098662208510495</v>
      </c>
      <c r="N57">
        <f t="shared" si="19"/>
        <v>2010</v>
      </c>
      <c r="O57" s="2">
        <f t="shared" si="20"/>
        <v>7035.1055765361771</v>
      </c>
      <c r="P57" s="2"/>
      <c r="Q57" s="2"/>
      <c r="R57">
        <f t="shared" si="21"/>
        <v>2010</v>
      </c>
      <c r="S57" s="2">
        <f t="shared" si="52"/>
        <v>42130.025502917269</v>
      </c>
      <c r="T57" s="2"/>
      <c r="U57" s="2">
        <f t="shared" si="53"/>
        <v>46127.204528435228</v>
      </c>
      <c r="V57" s="2">
        <f t="shared" si="53"/>
        <v>22788.225573752181</v>
      </c>
      <c r="W57" s="2"/>
      <c r="X57" s="2">
        <f t="shared" si="54"/>
        <v>40694.072089958681</v>
      </c>
      <c r="Y57" s="2">
        <f t="shared" si="54"/>
        <v>59073.518016771581</v>
      </c>
      <c r="Z57" s="2">
        <f t="shared" si="24"/>
        <v>210813.04571183494</v>
      </c>
      <c r="AA57" s="2">
        <f t="shared" ref="AA57:AA67" si="60">Z57-Z56</f>
        <v>21373.281469277717</v>
      </c>
      <c r="AB57" s="6">
        <f t="shared" ref="AB57:AB67" si="61">(AA57/Z56)</f>
        <v>0.11282362789425525</v>
      </c>
      <c r="AC57" s="7">
        <f t="shared" si="27"/>
        <v>1.1128236278942552</v>
      </c>
      <c r="AD57" s="2">
        <f t="shared" si="28"/>
        <v>0</v>
      </c>
      <c r="AE57" s="2"/>
      <c r="AG57">
        <f t="shared" si="29"/>
        <v>2010</v>
      </c>
      <c r="AH57" s="6">
        <f t="shared" si="59"/>
        <v>0.19984543822067702</v>
      </c>
      <c r="AI57" s="7"/>
      <c r="AJ57" s="6">
        <f t="shared" si="47"/>
        <v>0.21880621463762509</v>
      </c>
      <c r="AK57" s="6">
        <f t="shared" si="47"/>
        <v>0.10809684712255387</v>
      </c>
      <c r="AL57" s="7"/>
      <c r="AM57" s="6">
        <f t="shared" ref="AM57:AM67" si="62">X57/$Z57</f>
        <v>0.19303393655051271</v>
      </c>
      <c r="AN57" s="6">
        <f t="shared" si="31"/>
        <v>0.2802175634686313</v>
      </c>
      <c r="AO57" s="6">
        <f t="shared" si="32"/>
        <v>1</v>
      </c>
      <c r="AP57" s="7">
        <f t="shared" si="33"/>
        <v>0.71978243653136864</v>
      </c>
      <c r="AQ57" s="7">
        <f t="shared" si="34"/>
        <v>0</v>
      </c>
      <c r="AR57" s="24"/>
      <c r="AS57">
        <f t="shared" si="35"/>
        <v>2010</v>
      </c>
      <c r="AT57" s="1" t="b">
        <f t="shared" si="36"/>
        <v>1</v>
      </c>
      <c r="AV57" s="1" t="b">
        <f t="shared" si="55"/>
        <v>1</v>
      </c>
      <c r="AW57" s="1" t="b">
        <f t="shared" si="56"/>
        <v>1</v>
      </c>
      <c r="AY57" s="1" t="b">
        <f t="shared" si="44"/>
        <v>1</v>
      </c>
      <c r="AZ57" s="1" t="b">
        <f t="shared" si="38"/>
        <v>1</v>
      </c>
      <c r="BA57" s="1" t="b">
        <f t="shared" si="39"/>
        <v>1</v>
      </c>
      <c r="BC57">
        <f t="shared" si="40"/>
        <v>2010</v>
      </c>
      <c r="BD57" s="2">
        <f t="shared" si="57"/>
        <v>42162.609142366993</v>
      </c>
      <c r="BE57" s="2"/>
      <c r="BF57" s="2">
        <f t="shared" si="48"/>
        <v>42162.609142366993</v>
      </c>
      <c r="BG57" s="2">
        <f t="shared" si="48"/>
        <v>21081.304571183497</v>
      </c>
      <c r="BH57" s="2"/>
      <c r="BI57" s="2">
        <f t="shared" si="58"/>
        <v>42162.609142366993</v>
      </c>
      <c r="BJ57" s="2">
        <f t="shared" si="49"/>
        <v>63243.913713550479</v>
      </c>
      <c r="BK57" s="2">
        <f t="shared" si="41"/>
        <v>210813.04571183494</v>
      </c>
      <c r="BL57" s="2">
        <f t="shared" si="42"/>
        <v>0</v>
      </c>
      <c r="BM57" s="2"/>
    </row>
    <row r="58" spans="1:65" x14ac:dyDescent="0.25">
      <c r="A58">
        <f t="shared" si="6"/>
        <v>2011</v>
      </c>
      <c r="B58" s="2">
        <f t="shared" si="46"/>
        <v>42993.212542471629</v>
      </c>
      <c r="C58" s="2"/>
      <c r="D58" s="2">
        <f t="shared" si="50"/>
        <v>41272.978089463046</v>
      </c>
      <c r="E58" s="2">
        <f t="shared" si="51"/>
        <v>20491.028043190359</v>
      </c>
      <c r="F58" s="2"/>
      <c r="G58" s="2">
        <f t="shared" si="45"/>
        <v>36023.733251238358</v>
      </c>
      <c r="H58" s="2">
        <f t="shared" si="15"/>
        <v>68025.153590294896</v>
      </c>
      <c r="I58" s="2">
        <f t="shared" si="43"/>
        <v>208806.10551665828</v>
      </c>
      <c r="J58" s="2">
        <f t="shared" si="16"/>
        <v>-9042.0457717128447</v>
      </c>
      <c r="K58" s="6">
        <f t="shared" si="17"/>
        <v>-4.1506185470188632E-2</v>
      </c>
      <c r="L58" s="7">
        <f t="shared" si="18"/>
        <v>0.95849381452981142</v>
      </c>
      <c r="N58">
        <f t="shared" si="19"/>
        <v>2011</v>
      </c>
      <c r="O58" s="2">
        <f t="shared" si="20"/>
        <v>7133.5970546076833</v>
      </c>
      <c r="P58" s="2"/>
      <c r="Q58" s="2"/>
      <c r="R58">
        <f t="shared" si="21"/>
        <v>2011</v>
      </c>
      <c r="S58" s="2">
        <f t="shared" si="52"/>
        <v>41566.493131550094</v>
      </c>
      <c r="T58" s="2"/>
      <c r="U58" s="2">
        <f t="shared" si="53"/>
        <v>39846.258678541511</v>
      </c>
      <c r="V58" s="2">
        <f t="shared" si="53"/>
        <v>19064.308632268821</v>
      </c>
      <c r="W58" s="2"/>
      <c r="X58" s="2">
        <f t="shared" si="54"/>
        <v>34597.013840316824</v>
      </c>
      <c r="Y58" s="2">
        <f t="shared" si="54"/>
        <v>66598.434179373362</v>
      </c>
      <c r="Z58" s="2">
        <f t="shared" si="24"/>
        <v>201672.50846205064</v>
      </c>
      <c r="AA58" s="2">
        <f t="shared" si="60"/>
        <v>-9140.5372497843055</v>
      </c>
      <c r="AB58" s="6">
        <f t="shared" si="61"/>
        <v>-4.3358499085861646E-2</v>
      </c>
      <c r="AC58" s="7">
        <f t="shared" si="27"/>
        <v>0.95664150091413835</v>
      </c>
      <c r="AD58" s="2">
        <f t="shared" si="28"/>
        <v>0</v>
      </c>
      <c r="AE58" s="2"/>
      <c r="AG58">
        <f t="shared" si="29"/>
        <v>2011</v>
      </c>
      <c r="AH58" s="6">
        <f t="shared" si="59"/>
        <v>0.20610887149931889</v>
      </c>
      <c r="AI58" s="7"/>
      <c r="AJ58" s="6">
        <f t="shared" si="47"/>
        <v>0.19757903039144034</v>
      </c>
      <c r="AK58" s="6">
        <f t="shared" si="47"/>
        <v>9.4531023477878812E-2</v>
      </c>
      <c r="AL58" s="7"/>
      <c r="AM58" s="38">
        <f t="shared" si="62"/>
        <v>0.17155047112842878</v>
      </c>
      <c r="AN58" s="38">
        <f t="shared" si="31"/>
        <v>0.3302306035029331</v>
      </c>
      <c r="AO58" s="6">
        <f t="shared" si="32"/>
        <v>0.99999999999999989</v>
      </c>
      <c r="AP58" s="7">
        <f t="shared" si="33"/>
        <v>0.66976939649706679</v>
      </c>
      <c r="AQ58" s="7">
        <f t="shared" si="34"/>
        <v>0</v>
      </c>
      <c r="AR58" s="24"/>
      <c r="AS58">
        <f t="shared" si="35"/>
        <v>2011</v>
      </c>
      <c r="AT58" s="1" t="b">
        <f t="shared" si="36"/>
        <v>1</v>
      </c>
      <c r="AV58" s="1" t="b">
        <f t="shared" si="55"/>
        <v>1</v>
      </c>
      <c r="AW58" s="1" t="b">
        <f t="shared" si="56"/>
        <v>1</v>
      </c>
      <c r="AY58" s="1" t="b">
        <f t="shared" si="44"/>
        <v>1</v>
      </c>
      <c r="AZ58" s="1" t="b">
        <f t="shared" si="38"/>
        <v>1</v>
      </c>
      <c r="BA58" s="1" t="b">
        <f t="shared" si="39"/>
        <v>1</v>
      </c>
      <c r="BC58">
        <f t="shared" si="40"/>
        <v>2011</v>
      </c>
      <c r="BD58" s="2">
        <f t="shared" si="57"/>
        <v>40334.501692410129</v>
      </c>
      <c r="BE58" s="2"/>
      <c r="BF58" s="2">
        <f t="shared" si="48"/>
        <v>40334.501692410129</v>
      </c>
      <c r="BG58" s="2">
        <f t="shared" si="48"/>
        <v>20167.250846205065</v>
      </c>
      <c r="BH58" s="2"/>
      <c r="BI58" s="2">
        <f t="shared" si="58"/>
        <v>40334.501692410129</v>
      </c>
      <c r="BJ58" s="2">
        <f t="shared" si="49"/>
        <v>60501.75253861519</v>
      </c>
      <c r="BK58" s="2">
        <f t="shared" si="41"/>
        <v>201672.50846205064</v>
      </c>
      <c r="BL58" s="2">
        <f t="shared" si="42"/>
        <v>0</v>
      </c>
      <c r="BM58" s="2"/>
    </row>
    <row r="59" spans="1:65" x14ac:dyDescent="0.25">
      <c r="A59">
        <f t="shared" si="6"/>
        <v>2012</v>
      </c>
      <c r="B59" s="2">
        <f t="shared" si="46"/>
        <v>46715.419860149406</v>
      </c>
      <c r="C59" s="2"/>
      <c r="D59" s="2">
        <f t="shared" si="50"/>
        <v>46707.352959810923</v>
      </c>
      <c r="E59" s="2">
        <f t="shared" si="51"/>
        <v>23805.422898860459</v>
      </c>
      <c r="F59" s="2"/>
      <c r="G59" s="2">
        <f t="shared" si="45"/>
        <v>47651.180299413325</v>
      </c>
      <c r="H59" s="2">
        <f t="shared" si="15"/>
        <v>62952.073516429104</v>
      </c>
      <c r="I59" s="2">
        <f t="shared" si="43"/>
        <v>227831.44953466323</v>
      </c>
      <c r="J59" s="2">
        <f t="shared" si="16"/>
        <v>19025.344018004951</v>
      </c>
      <c r="K59" s="6">
        <f t="shared" si="17"/>
        <v>9.1114883690444265E-2</v>
      </c>
      <c r="L59" s="7">
        <f t="shared" si="18"/>
        <v>1.0911148836904443</v>
      </c>
      <c r="N59">
        <f t="shared" si="19"/>
        <v>2012</v>
      </c>
      <c r="O59" s="2">
        <f t="shared" si="20"/>
        <v>7347.6049662459136</v>
      </c>
      <c r="P59" s="2"/>
      <c r="Q59" s="2"/>
      <c r="R59">
        <f t="shared" si="21"/>
        <v>2012</v>
      </c>
      <c r="S59" s="2">
        <f t="shared" si="52"/>
        <v>45245.898866900221</v>
      </c>
      <c r="T59" s="2"/>
      <c r="U59" s="2">
        <f t="shared" si="53"/>
        <v>45237.831966561738</v>
      </c>
      <c r="V59" s="2">
        <f t="shared" si="53"/>
        <v>22335.901905611277</v>
      </c>
      <c r="W59" s="2"/>
      <c r="X59" s="2">
        <f t="shared" si="54"/>
        <v>46181.65930616414</v>
      </c>
      <c r="Y59" s="2">
        <f t="shared" si="54"/>
        <v>61482.552523179918</v>
      </c>
      <c r="Z59" s="2">
        <f t="shared" si="24"/>
        <v>220483.84456841729</v>
      </c>
      <c r="AA59" s="2">
        <f t="shared" si="60"/>
        <v>18811.336106366653</v>
      </c>
      <c r="AB59" s="6">
        <f t="shared" si="61"/>
        <v>9.3276650594676574E-2</v>
      </c>
      <c r="AC59" s="7">
        <f t="shared" si="27"/>
        <v>1.0932766505946765</v>
      </c>
      <c r="AD59" s="2">
        <f t="shared" si="28"/>
        <v>0</v>
      </c>
      <c r="AE59" s="2"/>
      <c r="AG59">
        <f t="shared" si="29"/>
        <v>2012</v>
      </c>
      <c r="AH59" s="6">
        <f t="shared" si="59"/>
        <v>0.20521185556912847</v>
      </c>
      <c r="AI59" s="7"/>
      <c r="AJ59" s="6">
        <f t="shared" si="47"/>
        <v>0.20517526830644592</v>
      </c>
      <c r="AK59" s="6">
        <f t="shared" si="47"/>
        <v>0.10130402955070175</v>
      </c>
      <c r="AL59" s="7"/>
      <c r="AM59" s="6">
        <f t="shared" si="62"/>
        <v>0.20945597804030366</v>
      </c>
      <c r="AN59" s="6">
        <f t="shared" si="31"/>
        <v>0.27885286853342017</v>
      </c>
      <c r="AO59" s="6">
        <f t="shared" si="32"/>
        <v>1</v>
      </c>
      <c r="AP59" s="7">
        <f t="shared" si="33"/>
        <v>0.72114713146657983</v>
      </c>
      <c r="AQ59" s="7">
        <f t="shared" si="34"/>
        <v>0</v>
      </c>
      <c r="AR59" s="24"/>
      <c r="AS59">
        <f t="shared" si="35"/>
        <v>2012</v>
      </c>
      <c r="AT59" s="1" t="b">
        <f t="shared" si="36"/>
        <v>1</v>
      </c>
      <c r="AV59" s="1" t="b">
        <f t="shared" si="55"/>
        <v>1</v>
      </c>
      <c r="AW59" s="1" t="b">
        <f t="shared" si="56"/>
        <v>1</v>
      </c>
      <c r="AY59" s="1" t="b">
        <f t="shared" si="44"/>
        <v>1</v>
      </c>
      <c r="AZ59" s="1" t="b">
        <f t="shared" si="38"/>
        <v>1</v>
      </c>
      <c r="BA59" s="1" t="b">
        <f t="shared" si="39"/>
        <v>1</v>
      </c>
      <c r="BC59">
        <f t="shared" si="40"/>
        <v>2012</v>
      </c>
      <c r="BD59" s="2">
        <f t="shared" si="57"/>
        <v>44096.76891368346</v>
      </c>
      <c r="BE59" s="2"/>
      <c r="BF59" s="2">
        <f t="shared" si="48"/>
        <v>44096.76891368346</v>
      </c>
      <c r="BG59" s="2">
        <f t="shared" si="48"/>
        <v>22048.38445684173</v>
      </c>
      <c r="BH59" s="2"/>
      <c r="BI59" s="2">
        <f t="shared" si="58"/>
        <v>44096.76891368346</v>
      </c>
      <c r="BJ59" s="2">
        <f t="shared" si="49"/>
        <v>66145.153370525179</v>
      </c>
      <c r="BK59" s="2">
        <f t="shared" si="41"/>
        <v>220483.84456841729</v>
      </c>
      <c r="BL59" s="2">
        <f t="shared" si="42"/>
        <v>0</v>
      </c>
      <c r="BM59" s="2"/>
    </row>
    <row r="60" spans="1:65" x14ac:dyDescent="0.25">
      <c r="A60">
        <f t="shared" si="6"/>
        <v>2013</v>
      </c>
      <c r="B60" s="2">
        <f t="shared" si="46"/>
        <v>58287.1091501068</v>
      </c>
      <c r="C60" s="2"/>
      <c r="D60" s="2">
        <f t="shared" si="50"/>
        <v>59530.638033472671</v>
      </c>
      <c r="E60" s="2">
        <f t="shared" si="51"/>
        <v>30342.986689505586</v>
      </c>
      <c r="F60" s="2"/>
      <c r="G60" s="2">
        <f t="shared" si="45"/>
        <v>50728.922958301446</v>
      </c>
      <c r="H60" s="2">
        <f t="shared" si="15"/>
        <v>64650.27290435131</v>
      </c>
      <c r="I60" s="2">
        <f t="shared" si="43"/>
        <v>263539.92973573779</v>
      </c>
      <c r="J60" s="2">
        <f t="shared" si="16"/>
        <v>35708.480201074563</v>
      </c>
      <c r="K60" s="6">
        <f t="shared" si="17"/>
        <v>0.15673200637579987</v>
      </c>
      <c r="L60" s="7">
        <f t="shared" si="18"/>
        <v>1.1567320063757998</v>
      </c>
      <c r="N60">
        <f t="shared" si="19"/>
        <v>2013</v>
      </c>
      <c r="O60" s="2">
        <f t="shared" si="20"/>
        <v>7479.8618556383399</v>
      </c>
      <c r="P60" s="2"/>
      <c r="Q60" s="2"/>
      <c r="R60">
        <f t="shared" si="21"/>
        <v>2013</v>
      </c>
      <c r="S60" s="2">
        <f t="shared" si="52"/>
        <v>56791.136778979133</v>
      </c>
      <c r="T60" s="2"/>
      <c r="U60" s="2">
        <f t="shared" si="53"/>
        <v>58034.665662345004</v>
      </c>
      <c r="V60" s="2">
        <f t="shared" si="53"/>
        <v>28847.014318377918</v>
      </c>
      <c r="W60" s="2"/>
      <c r="X60" s="2">
        <f t="shared" si="54"/>
        <v>49232.950587173778</v>
      </c>
      <c r="Y60" s="2">
        <f t="shared" si="54"/>
        <v>63154.300533223643</v>
      </c>
      <c r="Z60" s="2">
        <f t="shared" si="24"/>
        <v>256060.06788009946</v>
      </c>
      <c r="AA60" s="2">
        <f t="shared" si="60"/>
        <v>35576.223311682174</v>
      </c>
      <c r="AB60" s="6">
        <f t="shared" si="61"/>
        <v>0.16135523843626867</v>
      </c>
      <c r="AC60" s="7">
        <f t="shared" si="27"/>
        <v>1.1613552384362686</v>
      </c>
      <c r="AD60" s="2">
        <f t="shared" si="28"/>
        <v>0</v>
      </c>
      <c r="AE60" s="2"/>
      <c r="AG60">
        <f t="shared" si="29"/>
        <v>2013</v>
      </c>
      <c r="AH60" s="6">
        <f t="shared" si="59"/>
        <v>0.2217883375926139</v>
      </c>
      <c r="AI60" s="7"/>
      <c r="AJ60" s="6">
        <f t="shared" si="47"/>
        <v>0.22664473278793251</v>
      </c>
      <c r="AK60" s="6">
        <f t="shared" si="47"/>
        <v>0.11265721577440797</v>
      </c>
      <c r="AL60" s="7"/>
      <c r="AM60" s="6">
        <f t="shared" si="62"/>
        <v>0.19227109871042911</v>
      </c>
      <c r="AN60" s="38">
        <f t="shared" si="31"/>
        <v>0.24663861513461655</v>
      </c>
      <c r="AO60" s="6">
        <f t="shared" si="32"/>
        <v>1</v>
      </c>
      <c r="AP60" s="7">
        <f t="shared" si="33"/>
        <v>0.75336138486538351</v>
      </c>
      <c r="AQ60" s="7">
        <f t="shared" si="34"/>
        <v>0</v>
      </c>
      <c r="AR60" s="24"/>
      <c r="AS60">
        <f t="shared" si="35"/>
        <v>2013</v>
      </c>
      <c r="AT60" s="1" t="b">
        <f t="shared" si="36"/>
        <v>1</v>
      </c>
      <c r="AV60" s="1" t="b">
        <f t="shared" si="55"/>
        <v>1</v>
      </c>
      <c r="AW60" s="1" t="b">
        <f t="shared" si="56"/>
        <v>1</v>
      </c>
      <c r="AY60" s="1" t="b">
        <f t="shared" si="44"/>
        <v>1</v>
      </c>
      <c r="AZ60" s="39" t="b">
        <f t="shared" si="38"/>
        <v>0</v>
      </c>
      <c r="BA60" s="1" t="b">
        <f t="shared" si="39"/>
        <v>1</v>
      </c>
      <c r="BC60">
        <f t="shared" si="40"/>
        <v>2013</v>
      </c>
      <c r="BD60" s="2">
        <f t="shared" si="57"/>
        <v>51212.013576019897</v>
      </c>
      <c r="BE60" s="2"/>
      <c r="BF60" s="2">
        <f t="shared" si="48"/>
        <v>51212.013576019897</v>
      </c>
      <c r="BG60" s="2">
        <f t="shared" si="48"/>
        <v>25606.006788009949</v>
      </c>
      <c r="BH60" s="2"/>
      <c r="BI60" s="2">
        <f t="shared" si="58"/>
        <v>51212.013576019897</v>
      </c>
      <c r="BJ60" s="2">
        <f t="shared" si="49"/>
        <v>76818.020364029842</v>
      </c>
      <c r="BK60" s="2">
        <f t="shared" si="41"/>
        <v>256060.06788009946</v>
      </c>
      <c r="BL60" s="2">
        <f t="shared" si="42"/>
        <v>0</v>
      </c>
      <c r="BM60" s="2"/>
    </row>
    <row r="61" spans="1:65" x14ac:dyDescent="0.25">
      <c r="A61">
        <f t="shared" si="6"/>
        <v>2014</v>
      </c>
      <c r="B61" s="2">
        <f t="shared" si="46"/>
        <v>58130.756610140183</v>
      </c>
      <c r="C61" s="2"/>
      <c r="D61" s="2">
        <f t="shared" si="50"/>
        <v>58176.847422358609</v>
      </c>
      <c r="E61" s="2">
        <f t="shared" si="51"/>
        <v>27493.169488286283</v>
      </c>
      <c r="F61" s="2"/>
      <c r="G61" s="2">
        <f t="shared" si="45"/>
        <v>49040.624200396654</v>
      </c>
      <c r="H61" s="2">
        <f t="shared" si="15"/>
        <v>81242.738336997965</v>
      </c>
      <c r="I61" s="2">
        <f t="shared" si="43"/>
        <v>274084.13605817966</v>
      </c>
      <c r="J61" s="2">
        <f t="shared" si="16"/>
        <v>10544.206322441867</v>
      </c>
      <c r="K61" s="6">
        <f t="shared" si="17"/>
        <v>4.0009900332807144E-2</v>
      </c>
      <c r="L61" s="7">
        <f t="shared" si="18"/>
        <v>1.0400099003328072</v>
      </c>
      <c r="N61">
        <f t="shared" si="19"/>
        <v>2014</v>
      </c>
      <c r="O61" s="2">
        <f t="shared" si="20"/>
        <v>7566.298518813901</v>
      </c>
      <c r="P61" s="2"/>
      <c r="Q61" s="2"/>
      <c r="R61">
        <f t="shared" si="21"/>
        <v>2014</v>
      </c>
      <c r="S61" s="2">
        <f t="shared" si="52"/>
        <v>56617.496906377404</v>
      </c>
      <c r="T61" s="2"/>
      <c r="U61" s="2">
        <f t="shared" si="53"/>
        <v>56663.587718595831</v>
      </c>
      <c r="V61" s="2">
        <f t="shared" si="53"/>
        <v>25979.909784523501</v>
      </c>
      <c r="W61" s="2"/>
      <c r="X61" s="2">
        <f t="shared" si="54"/>
        <v>47527.364496633876</v>
      </c>
      <c r="Y61" s="2">
        <f t="shared" si="54"/>
        <v>79729.47863323518</v>
      </c>
      <c r="Z61" s="2">
        <f t="shared" si="24"/>
        <v>266517.83753936581</v>
      </c>
      <c r="AA61" s="2">
        <f t="shared" si="60"/>
        <v>10457.769659266341</v>
      </c>
      <c r="AB61" s="6">
        <f t="shared" si="61"/>
        <v>4.0841079774153653E-2</v>
      </c>
      <c r="AC61" s="7">
        <f t="shared" si="27"/>
        <v>1.0408410797741536</v>
      </c>
      <c r="AD61" s="2">
        <f t="shared" si="28"/>
        <v>0</v>
      </c>
      <c r="AE61" s="2"/>
      <c r="AG61">
        <f t="shared" si="29"/>
        <v>2014</v>
      </c>
      <c r="AH61" s="6">
        <f t="shared" si="59"/>
        <v>0.21243417487212188</v>
      </c>
      <c r="AI61" s="7"/>
      <c r="AJ61" s="6">
        <f t="shared" si="47"/>
        <v>0.21260711193571191</v>
      </c>
      <c r="AK61" s="6">
        <f t="shared" si="47"/>
        <v>9.7479065657983061E-2</v>
      </c>
      <c r="AL61" s="7"/>
      <c r="AM61" s="6">
        <f t="shared" si="62"/>
        <v>0.17832714288631388</v>
      </c>
      <c r="AN61" s="6">
        <f t="shared" si="31"/>
        <v>0.29915250464786919</v>
      </c>
      <c r="AO61" s="6">
        <f t="shared" si="32"/>
        <v>1</v>
      </c>
      <c r="AP61" s="7">
        <f t="shared" si="33"/>
        <v>0.70084749535213076</v>
      </c>
      <c r="AQ61" s="7">
        <f t="shared" si="34"/>
        <v>0</v>
      </c>
      <c r="AR61" s="24"/>
      <c r="AS61">
        <f t="shared" si="35"/>
        <v>2014</v>
      </c>
      <c r="AT61" s="1" t="b">
        <f t="shared" si="36"/>
        <v>1</v>
      </c>
      <c r="AV61" s="1" t="b">
        <f t="shared" si="55"/>
        <v>1</v>
      </c>
      <c r="AW61" s="1" t="b">
        <f t="shared" si="56"/>
        <v>1</v>
      </c>
      <c r="AY61" s="1" t="b">
        <f t="shared" si="44"/>
        <v>1</v>
      </c>
      <c r="AZ61" s="1" t="b">
        <f t="shared" si="38"/>
        <v>1</v>
      </c>
      <c r="BA61" s="1" t="b">
        <f t="shared" si="39"/>
        <v>1</v>
      </c>
      <c r="BC61">
        <f t="shared" si="40"/>
        <v>2014</v>
      </c>
      <c r="BD61" s="2">
        <f t="shared" si="57"/>
        <v>53303.567507873166</v>
      </c>
      <c r="BE61" s="2"/>
      <c r="BF61" s="2">
        <f t="shared" si="48"/>
        <v>53303.567507873166</v>
      </c>
      <c r="BG61" s="2">
        <f t="shared" si="48"/>
        <v>26651.783753936583</v>
      </c>
      <c r="BH61" s="2"/>
      <c r="BI61" s="2">
        <f t="shared" si="58"/>
        <v>53303.567507873166</v>
      </c>
      <c r="BJ61" s="2">
        <f t="shared" si="49"/>
        <v>79955.351261809745</v>
      </c>
      <c r="BK61" s="2">
        <f t="shared" si="41"/>
        <v>266517.83753936581</v>
      </c>
      <c r="BL61" s="2">
        <f t="shared" si="42"/>
        <v>0</v>
      </c>
      <c r="BM61" s="2"/>
    </row>
    <row r="62" spans="1:65" x14ac:dyDescent="0.25">
      <c r="A62">
        <f t="shared" si="6"/>
        <v>2015</v>
      </c>
      <c r="B62" s="2">
        <f t="shared" si="46"/>
        <v>53969.862101721577</v>
      </c>
      <c r="C62" s="2"/>
      <c r="D62" s="2">
        <f t="shared" si="50"/>
        <v>52525.33542225822</v>
      </c>
      <c r="E62" s="2">
        <f t="shared" si="51"/>
        <v>25644.34632803778</v>
      </c>
      <c r="F62" s="2"/>
      <c r="G62" s="2">
        <f t="shared" si="45"/>
        <v>50974.201607779112</v>
      </c>
      <c r="H62" s="2">
        <f t="shared" si="15"/>
        <v>80195.21731559516</v>
      </c>
      <c r="I62" s="2">
        <f t="shared" si="43"/>
        <v>263308.96277539188</v>
      </c>
      <c r="J62" s="2">
        <f t="shared" si="16"/>
        <v>-10775.173282787786</v>
      </c>
      <c r="K62" s="6">
        <f t="shared" si="17"/>
        <v>-3.9313378139114723E-2</v>
      </c>
      <c r="L62" s="7">
        <f t="shared" si="18"/>
        <v>0.96068662186088527</v>
      </c>
      <c r="N62">
        <f t="shared" si="19"/>
        <v>2015</v>
      </c>
      <c r="O62" s="2">
        <f t="shared" si="20"/>
        <v>7663.9037697065996</v>
      </c>
      <c r="P62" s="2"/>
      <c r="Q62" s="2"/>
      <c r="R62">
        <f t="shared" si="21"/>
        <v>2015</v>
      </c>
      <c r="S62" s="2">
        <f t="shared" si="52"/>
        <v>52437.081347780259</v>
      </c>
      <c r="T62" s="2"/>
      <c r="U62" s="2">
        <f t="shared" si="53"/>
        <v>50992.554668316901</v>
      </c>
      <c r="V62" s="2">
        <f t="shared" si="53"/>
        <v>24111.565574096461</v>
      </c>
      <c r="W62" s="2"/>
      <c r="X62" s="2">
        <f t="shared" si="54"/>
        <v>49441.420853837793</v>
      </c>
      <c r="Y62" s="2">
        <f t="shared" si="54"/>
        <v>78662.436561653842</v>
      </c>
      <c r="Z62" s="2">
        <f t="shared" si="24"/>
        <v>255645.05900568527</v>
      </c>
      <c r="AA62" s="2">
        <f t="shared" si="60"/>
        <v>-10872.778533680539</v>
      </c>
      <c r="AB62" s="6">
        <f t="shared" si="61"/>
        <v>-4.0795687951184822E-2</v>
      </c>
      <c r="AC62" s="7">
        <f t="shared" si="27"/>
        <v>0.95920431204881518</v>
      </c>
      <c r="AD62" s="2">
        <f t="shared" si="28"/>
        <v>0</v>
      </c>
      <c r="AE62" s="2"/>
      <c r="AG62">
        <f t="shared" si="29"/>
        <v>2015</v>
      </c>
      <c r="AH62" s="6">
        <f t="shared" si="59"/>
        <v>0.20511674096785151</v>
      </c>
      <c r="AI62" s="7"/>
      <c r="AJ62" s="6">
        <f t="shared" si="47"/>
        <v>0.19946622425111249</v>
      </c>
      <c r="AK62" s="6">
        <f t="shared" si="47"/>
        <v>9.4316571843308133E-2</v>
      </c>
      <c r="AL62" s="7"/>
      <c r="AM62" s="6">
        <f t="shared" si="62"/>
        <v>0.19339869523055508</v>
      </c>
      <c r="AN62" s="38">
        <f t="shared" si="31"/>
        <v>0.30770176770717278</v>
      </c>
      <c r="AO62" s="6">
        <f t="shared" si="32"/>
        <v>1</v>
      </c>
      <c r="AP62" s="7">
        <f t="shared" si="33"/>
        <v>0.69229823229282716</v>
      </c>
      <c r="AQ62" s="7">
        <f t="shared" si="34"/>
        <v>0</v>
      </c>
      <c r="AR62" s="24"/>
      <c r="AS62">
        <f t="shared" si="35"/>
        <v>2015</v>
      </c>
      <c r="AT62" s="1" t="b">
        <f t="shared" si="36"/>
        <v>1</v>
      </c>
      <c r="AV62" s="1" t="b">
        <f t="shared" si="55"/>
        <v>1</v>
      </c>
      <c r="AW62" s="1" t="b">
        <f t="shared" si="56"/>
        <v>1</v>
      </c>
      <c r="AY62" s="1" t="b">
        <f t="shared" si="44"/>
        <v>1</v>
      </c>
      <c r="AZ62" s="1" t="b">
        <f t="shared" si="38"/>
        <v>1</v>
      </c>
      <c r="BA62" s="1" t="b">
        <f t="shared" si="39"/>
        <v>1</v>
      </c>
      <c r="BC62">
        <f t="shared" si="40"/>
        <v>2015</v>
      </c>
      <c r="BD62" s="2">
        <f t="shared" si="57"/>
        <v>51129.011801137058</v>
      </c>
      <c r="BE62" s="2"/>
      <c r="BF62" s="2">
        <f t="shared" si="48"/>
        <v>51129.011801137058</v>
      </c>
      <c r="BG62" s="2">
        <f t="shared" si="48"/>
        <v>25564.505900568529</v>
      </c>
      <c r="BH62" s="2"/>
      <c r="BI62" s="2">
        <f t="shared" si="58"/>
        <v>51129.011801137058</v>
      </c>
      <c r="BJ62" s="2">
        <f t="shared" si="49"/>
        <v>76693.517701705583</v>
      </c>
      <c r="BK62" s="2">
        <f t="shared" si="41"/>
        <v>255645.05900568527</v>
      </c>
      <c r="BL62" s="2">
        <f t="shared" si="42"/>
        <v>0</v>
      </c>
      <c r="BM62" s="2"/>
    </row>
    <row r="63" spans="1:65" x14ac:dyDescent="0.25">
      <c r="A63">
        <f t="shared" si="6"/>
        <v>2016</v>
      </c>
      <c r="B63" s="2">
        <f t="shared" si="46"/>
        <v>57172.460996031463</v>
      </c>
      <c r="C63" s="2"/>
      <c r="D63" s="2">
        <f t="shared" si="50"/>
        <v>56788.993407522932</v>
      </c>
      <c r="E63" s="2">
        <f t="shared" si="51"/>
        <v>30209.576622701828</v>
      </c>
      <c r="F63" s="2"/>
      <c r="G63" s="2">
        <f t="shared" si="45"/>
        <v>53506.510849889928</v>
      </c>
      <c r="H63" s="2">
        <f t="shared" si="15"/>
        <v>78610.855644248222</v>
      </c>
      <c r="I63" s="2">
        <f t="shared" si="43"/>
        <v>276288.39752039436</v>
      </c>
      <c r="J63" s="2">
        <f t="shared" si="16"/>
        <v>12979.43474500248</v>
      </c>
      <c r="K63" s="6">
        <f t="shared" si="17"/>
        <v>4.9293554644678814E-2</v>
      </c>
      <c r="L63" s="7">
        <f t="shared" si="18"/>
        <v>1.0492935546446789</v>
      </c>
      <c r="N63">
        <f t="shared" si="19"/>
        <v>2016</v>
      </c>
      <c r="O63" s="2">
        <f t="shared" si="20"/>
        <v>7697.6249462933083</v>
      </c>
      <c r="P63" s="2"/>
      <c r="Q63" s="2"/>
      <c r="R63">
        <f t="shared" si="21"/>
        <v>2016</v>
      </c>
      <c r="S63" s="2">
        <f t="shared" si="52"/>
        <v>55632.936006772798</v>
      </c>
      <c r="T63" s="2"/>
      <c r="U63" s="2">
        <f t="shared" si="53"/>
        <v>55249.468418264267</v>
      </c>
      <c r="V63" s="2">
        <f t="shared" si="53"/>
        <v>28670.051633443167</v>
      </c>
      <c r="W63" s="2"/>
      <c r="X63" s="2">
        <f t="shared" si="54"/>
        <v>51966.985860631263</v>
      </c>
      <c r="Y63" s="2">
        <f t="shared" si="54"/>
        <v>77071.330654989564</v>
      </c>
      <c r="Z63" s="2">
        <f t="shared" si="24"/>
        <v>268590.77257410105</v>
      </c>
      <c r="AA63" s="2">
        <f t="shared" si="60"/>
        <v>12945.713568415784</v>
      </c>
      <c r="AB63" s="6">
        <f t="shared" si="61"/>
        <v>5.0639404566500484E-2</v>
      </c>
      <c r="AC63" s="7">
        <f t="shared" si="27"/>
        <v>1.0506394045665004</v>
      </c>
      <c r="AD63" s="2">
        <f t="shared" si="28"/>
        <v>0</v>
      </c>
      <c r="AE63" s="2"/>
      <c r="AG63">
        <f t="shared" si="29"/>
        <v>2016</v>
      </c>
      <c r="AH63" s="6">
        <f t="shared" si="59"/>
        <v>0.20712899208562469</v>
      </c>
      <c r="AI63" s="7"/>
      <c r="AJ63" s="6">
        <f t="shared" si="47"/>
        <v>0.20570129006580665</v>
      </c>
      <c r="AK63" s="6">
        <f t="shared" si="47"/>
        <v>0.10674250406548659</v>
      </c>
      <c r="AL63" s="7"/>
      <c r="AM63" s="6">
        <f t="shared" si="62"/>
        <v>0.19348016077616434</v>
      </c>
      <c r="AN63" s="6">
        <f t="shared" si="31"/>
        <v>0.28694705300691775</v>
      </c>
      <c r="AO63" s="6">
        <f t="shared" si="32"/>
        <v>1</v>
      </c>
      <c r="AP63" s="7">
        <f t="shared" si="33"/>
        <v>0.7130529469930823</v>
      </c>
      <c r="AQ63" s="7">
        <f t="shared" si="34"/>
        <v>0</v>
      </c>
      <c r="AR63" s="24"/>
      <c r="AS63">
        <f t="shared" si="35"/>
        <v>2016</v>
      </c>
      <c r="AT63" s="1" t="b">
        <f t="shared" si="36"/>
        <v>1</v>
      </c>
      <c r="AV63" s="1" t="b">
        <f t="shared" si="55"/>
        <v>1</v>
      </c>
      <c r="AW63" s="1" t="b">
        <f t="shared" si="56"/>
        <v>1</v>
      </c>
      <c r="AY63" s="1" t="b">
        <f t="shared" si="44"/>
        <v>1</v>
      </c>
      <c r="AZ63" s="1" t="b">
        <f t="shared" si="38"/>
        <v>1</v>
      </c>
      <c r="BA63" s="1" t="b">
        <f t="shared" si="39"/>
        <v>1</v>
      </c>
      <c r="BC63">
        <f t="shared" si="40"/>
        <v>2016</v>
      </c>
      <c r="BD63" s="2">
        <f t="shared" si="57"/>
        <v>53718.154514820213</v>
      </c>
      <c r="BE63" s="2"/>
      <c r="BF63" s="2">
        <f t="shared" si="48"/>
        <v>53718.154514820213</v>
      </c>
      <c r="BG63" s="2">
        <f t="shared" si="48"/>
        <v>26859.077257410107</v>
      </c>
      <c r="BH63" s="2"/>
      <c r="BI63" s="2">
        <f t="shared" si="58"/>
        <v>53718.154514820213</v>
      </c>
      <c r="BJ63" s="2">
        <f t="shared" si="49"/>
        <v>80577.231772230312</v>
      </c>
      <c r="BK63" s="2">
        <f t="shared" si="41"/>
        <v>268590.77257410105</v>
      </c>
      <c r="BL63" s="2">
        <f t="shared" si="42"/>
        <v>0</v>
      </c>
      <c r="BM63" s="2"/>
    </row>
    <row r="64" spans="1:65" x14ac:dyDescent="0.25">
      <c r="A64">
        <f t="shared" si="6"/>
        <v>2017</v>
      </c>
      <c r="B64" s="2">
        <f t="shared" si="46"/>
        <v>65358.878598181749</v>
      </c>
      <c r="C64" s="2"/>
      <c r="D64" s="2">
        <f t="shared" si="50"/>
        <v>64246.912799724974</v>
      </c>
      <c r="E64" s="2">
        <f t="shared" si="51"/>
        <v>31183.388695853133</v>
      </c>
      <c r="F64" s="2"/>
      <c r="G64" s="2">
        <f t="shared" si="45"/>
        <v>68436.928851880948</v>
      </c>
      <c r="H64" s="2">
        <f t="shared" si="15"/>
        <v>83365.203991549482</v>
      </c>
      <c r="I64" s="2">
        <f t="shared" si="43"/>
        <v>312591.31293719029</v>
      </c>
      <c r="J64" s="2">
        <f t="shared" si="16"/>
        <v>36302.915416795935</v>
      </c>
      <c r="K64" s="6">
        <f t="shared" si="17"/>
        <v>0.13139500515621985</v>
      </c>
      <c r="L64" s="7">
        <f t="shared" si="18"/>
        <v>1.1313950051562198</v>
      </c>
      <c r="N64">
        <f t="shared" si="19"/>
        <v>2017</v>
      </c>
      <c r="O64" s="2">
        <f t="shared" si="20"/>
        <v>7828.4845703802939</v>
      </c>
      <c r="P64" s="2"/>
      <c r="Q64" s="2"/>
      <c r="R64">
        <f t="shared" si="21"/>
        <v>2017</v>
      </c>
      <c r="S64" s="2">
        <f t="shared" si="52"/>
        <v>63793.181684105693</v>
      </c>
      <c r="T64" s="2"/>
      <c r="U64" s="2">
        <f t="shared" si="53"/>
        <v>62681.215885648919</v>
      </c>
      <c r="V64" s="2">
        <f t="shared" si="53"/>
        <v>29617.691781777074</v>
      </c>
      <c r="W64" s="2"/>
      <c r="X64" s="2">
        <f t="shared" si="54"/>
        <v>66871.231937804885</v>
      </c>
      <c r="Y64" s="2">
        <f t="shared" si="54"/>
        <v>81799.507077473419</v>
      </c>
      <c r="Z64" s="2">
        <f t="shared" si="24"/>
        <v>304762.82836680999</v>
      </c>
      <c r="AA64" s="2">
        <f t="shared" si="60"/>
        <v>36172.055792708939</v>
      </c>
      <c r="AB64" s="6">
        <f t="shared" si="61"/>
        <v>0.13467348653137179</v>
      </c>
      <c r="AC64" s="7">
        <f t="shared" si="27"/>
        <v>1.1346734865313719</v>
      </c>
      <c r="AD64" s="2">
        <f t="shared" si="28"/>
        <v>0</v>
      </c>
      <c r="AE64" s="2"/>
      <c r="AG64">
        <f t="shared" si="29"/>
        <v>2017</v>
      </c>
      <c r="AH64" s="6">
        <f t="shared" si="59"/>
        <v>0.20932074303800841</v>
      </c>
      <c r="AI64" s="7"/>
      <c r="AJ64" s="6">
        <f t="shared" si="47"/>
        <v>0.20567211631927215</v>
      </c>
      <c r="AK64" s="6">
        <f t="shared" si="47"/>
        <v>9.7182756638973924E-2</v>
      </c>
      <c r="AL64" s="7"/>
      <c r="AM64" s="6">
        <f t="shared" si="62"/>
        <v>0.21942056482465516</v>
      </c>
      <c r="AN64" s="6">
        <f t="shared" si="31"/>
        <v>0.26840381917909034</v>
      </c>
      <c r="AO64" s="6">
        <f t="shared" si="32"/>
        <v>1</v>
      </c>
      <c r="AP64" s="7">
        <f t="shared" si="33"/>
        <v>0.73159618082090971</v>
      </c>
      <c r="AQ64" s="7">
        <f t="shared" si="34"/>
        <v>0</v>
      </c>
      <c r="AR64" s="24"/>
      <c r="AS64">
        <f t="shared" si="35"/>
        <v>2017</v>
      </c>
      <c r="AT64" s="1" t="b">
        <f t="shared" si="36"/>
        <v>1</v>
      </c>
      <c r="AV64" s="1" t="b">
        <f t="shared" si="55"/>
        <v>1</v>
      </c>
      <c r="AW64" s="1" t="b">
        <f t="shared" si="56"/>
        <v>1</v>
      </c>
      <c r="AY64" s="1" t="b">
        <f t="shared" si="44"/>
        <v>1</v>
      </c>
      <c r="AZ64" s="1" t="b">
        <f t="shared" si="38"/>
        <v>1</v>
      </c>
      <c r="BA64" s="1" t="b">
        <f t="shared" si="39"/>
        <v>1</v>
      </c>
      <c r="BC64">
        <f t="shared" si="40"/>
        <v>2017</v>
      </c>
      <c r="BD64" s="2">
        <f t="shared" si="57"/>
        <v>60952.565673361998</v>
      </c>
      <c r="BE64" s="2"/>
      <c r="BF64" s="2">
        <f t="shared" si="48"/>
        <v>60952.565673361998</v>
      </c>
      <c r="BG64" s="2">
        <f t="shared" si="48"/>
        <v>30476.282836680999</v>
      </c>
      <c r="BH64" s="2"/>
      <c r="BI64" s="2">
        <f t="shared" si="58"/>
        <v>60952.565673361998</v>
      </c>
      <c r="BJ64" s="2">
        <f t="shared" si="49"/>
        <v>91428.848510042997</v>
      </c>
      <c r="BK64" s="2">
        <f t="shared" si="41"/>
        <v>304762.82836680999</v>
      </c>
      <c r="BL64" s="2">
        <f t="shared" si="42"/>
        <v>0</v>
      </c>
      <c r="BM64" s="2"/>
    </row>
    <row r="65" spans="1:65" x14ac:dyDescent="0.25">
      <c r="A65">
        <f t="shared" si="6"/>
        <v>2017</v>
      </c>
      <c r="B65" s="2">
        <f t="shared" si="46"/>
        <v>74160.986654779539</v>
      </c>
      <c r="C65" s="2"/>
      <c r="D65" s="2">
        <f t="shared" si="50"/>
        <v>72899.26854534095</v>
      </c>
      <c r="E65" s="2">
        <f t="shared" si="51"/>
        <v>35382.96437338664</v>
      </c>
      <c r="F65" s="2"/>
      <c r="G65" s="2">
        <f t="shared" si="45"/>
        <v>77653.56866786319</v>
      </c>
      <c r="H65" s="2">
        <f t="shared" si="15"/>
        <v>94592.286668490488</v>
      </c>
      <c r="I65" s="2">
        <f t="shared" ref="I65:I66" si="63">SUM(B65:H65)</f>
        <v>354689.07490986085</v>
      </c>
      <c r="J65" s="2">
        <f t="shared" si="16"/>
        <v>42097.76197267056</v>
      </c>
      <c r="K65" s="6">
        <f t="shared" si="17"/>
        <v>0.13467348653137193</v>
      </c>
      <c r="L65" s="7">
        <f t="shared" si="18"/>
        <v>1.1346734865313719</v>
      </c>
      <c r="N65">
        <f t="shared" si="19"/>
        <v>2017</v>
      </c>
      <c r="O65" s="2">
        <f t="shared" si="20"/>
        <v>8003.0597762997741</v>
      </c>
      <c r="P65" s="2"/>
      <c r="Q65" s="2"/>
      <c r="R65">
        <f t="shared" si="21"/>
        <v>2017</v>
      </c>
      <c r="S65" s="2">
        <f t="shared" si="52"/>
        <v>72560.374699519583</v>
      </c>
      <c r="T65" s="2"/>
      <c r="U65" s="2">
        <f t="shared" si="53"/>
        <v>71298.656590080995</v>
      </c>
      <c r="V65" s="2">
        <f t="shared" si="53"/>
        <v>33782.352418126684</v>
      </c>
      <c r="W65" s="2"/>
      <c r="X65" s="2">
        <f t="shared" si="54"/>
        <v>76052.956712603234</v>
      </c>
      <c r="Y65" s="2">
        <f t="shared" si="54"/>
        <v>92991.674713230532</v>
      </c>
      <c r="Z65" s="2">
        <f t="shared" si="24"/>
        <v>346686.01513356104</v>
      </c>
      <c r="AA65" s="2">
        <f t="shared" si="60"/>
        <v>41923.186766751052</v>
      </c>
      <c r="AB65" s="6">
        <f t="shared" si="61"/>
        <v>0.13756003969189004</v>
      </c>
      <c r="AC65" s="7">
        <f t="shared" si="27"/>
        <v>1.1375600396918901</v>
      </c>
      <c r="AD65" s="2">
        <f t="shared" si="28"/>
        <v>0</v>
      </c>
      <c r="AE65" s="2"/>
      <c r="AG65">
        <f t="shared" si="29"/>
        <v>2017</v>
      </c>
      <c r="AH65" s="6">
        <f t="shared" si="59"/>
        <v>0.2092970916971244</v>
      </c>
      <c r="AI65" s="7"/>
      <c r="AJ65" s="6">
        <f t="shared" si="47"/>
        <v>0.20565772335123797</v>
      </c>
      <c r="AK65" s="6">
        <f t="shared" si="47"/>
        <v>9.744365490229541E-2</v>
      </c>
      <c r="AL65" s="7"/>
      <c r="AM65" s="6">
        <f t="shared" si="62"/>
        <v>0.21937128523428837</v>
      </c>
      <c r="AN65" s="6">
        <f t="shared" si="31"/>
        <v>0.26823024481505381</v>
      </c>
      <c r="AO65" s="6">
        <f t="shared" si="32"/>
        <v>1</v>
      </c>
      <c r="AP65" s="7">
        <f t="shared" si="33"/>
        <v>0.73176975518494625</v>
      </c>
      <c r="AQ65" s="7">
        <f t="shared" si="34"/>
        <v>0</v>
      </c>
      <c r="AR65" s="24"/>
      <c r="AS65">
        <f t="shared" si="35"/>
        <v>2017</v>
      </c>
      <c r="AT65" s="1" t="b">
        <f t="shared" si="36"/>
        <v>1</v>
      </c>
      <c r="AV65" s="1" t="b">
        <f t="shared" si="55"/>
        <v>1</v>
      </c>
      <c r="AW65" s="1" t="b">
        <f t="shared" si="56"/>
        <v>1</v>
      </c>
      <c r="AY65" s="1" t="b">
        <f t="shared" si="44"/>
        <v>1</v>
      </c>
      <c r="AZ65" s="1" t="b">
        <f t="shared" si="38"/>
        <v>1</v>
      </c>
      <c r="BA65" s="1" t="b">
        <f t="shared" si="39"/>
        <v>1</v>
      </c>
      <c r="BC65">
        <f t="shared" si="40"/>
        <v>2017</v>
      </c>
      <c r="BD65" s="2">
        <f t="shared" si="57"/>
        <v>69337.203026712217</v>
      </c>
      <c r="BE65" s="2"/>
      <c r="BF65" s="2">
        <f t="shared" si="48"/>
        <v>69337.203026712217</v>
      </c>
      <c r="BG65" s="2">
        <f t="shared" si="48"/>
        <v>34668.601513356109</v>
      </c>
      <c r="BH65" s="2"/>
      <c r="BI65" s="2">
        <f t="shared" si="58"/>
        <v>69337.203026712217</v>
      </c>
      <c r="BJ65" s="2">
        <f t="shared" si="49"/>
        <v>104005.8045400683</v>
      </c>
      <c r="BK65" s="2">
        <f t="shared" si="41"/>
        <v>346686.01513356104</v>
      </c>
      <c r="BL65" s="2">
        <f t="shared" si="42"/>
        <v>0</v>
      </c>
      <c r="BM65" s="2"/>
    </row>
    <row r="66" spans="1:65" x14ac:dyDescent="0.25">
      <c r="A66">
        <f t="shared" si="6"/>
        <v>2017</v>
      </c>
      <c r="B66" s="2">
        <f t="shared" si="46"/>
        <v>84362.574922600747</v>
      </c>
      <c r="C66" s="2"/>
      <c r="D66" s="2">
        <f t="shared" si="50"/>
        <v>82927.294819947812</v>
      </c>
      <c r="E66" s="2">
        <f t="shared" si="51"/>
        <v>40250.246357006443</v>
      </c>
      <c r="F66" s="2"/>
      <c r="G66" s="2">
        <f t="shared" si="45"/>
        <v>88335.596656031368</v>
      </c>
      <c r="H66" s="2">
        <f t="shared" si="15"/>
        <v>107604.40537715466</v>
      </c>
      <c r="I66" s="2">
        <f t="shared" si="63"/>
        <v>403480.11813274102</v>
      </c>
      <c r="J66" s="2">
        <f t="shared" si="16"/>
        <v>48791.043222880166</v>
      </c>
      <c r="K66" s="6">
        <f t="shared" si="17"/>
        <v>0.1375600396918899</v>
      </c>
      <c r="L66" s="7">
        <f t="shared" si="18"/>
        <v>1.1375600396918899</v>
      </c>
      <c r="N66">
        <f t="shared" si="19"/>
        <v>2017</v>
      </c>
      <c r="O66" s="2">
        <f t="shared" si="20"/>
        <v>8181.5280093112588</v>
      </c>
      <c r="P66" s="2"/>
      <c r="R66">
        <f t="shared" si="21"/>
        <v>2017</v>
      </c>
      <c r="S66" s="2">
        <f t="shared" si="52"/>
        <v>82726.269320738502</v>
      </c>
      <c r="T66" s="2"/>
      <c r="U66" s="2">
        <f t="shared" si="53"/>
        <v>81290.989218085568</v>
      </c>
      <c r="V66" s="2">
        <f t="shared" si="53"/>
        <v>38613.940755144191</v>
      </c>
      <c r="W66" s="2"/>
      <c r="X66" s="2">
        <f t="shared" si="54"/>
        <v>86699.291054169124</v>
      </c>
      <c r="Y66" s="2">
        <f t="shared" si="54"/>
        <v>105968.09977529242</v>
      </c>
      <c r="Z66" s="2">
        <f t="shared" si="24"/>
        <v>395298.59012342978</v>
      </c>
      <c r="AA66" s="2">
        <f t="shared" si="60"/>
        <v>48612.574989868735</v>
      </c>
      <c r="AB66" s="6">
        <f t="shared" si="61"/>
        <v>0.14022075557660066</v>
      </c>
      <c r="AC66" s="7">
        <f t="shared" si="27"/>
        <v>1.1402207555766006</v>
      </c>
      <c r="AD66" s="2">
        <f t="shared" si="28"/>
        <v>0</v>
      </c>
      <c r="AE66" s="2"/>
      <c r="AG66">
        <f t="shared" si="29"/>
        <v>2017</v>
      </c>
      <c r="AH66" s="6">
        <f t="shared" si="59"/>
        <v>0.2092753968459834</v>
      </c>
      <c r="AI66" s="7"/>
      <c r="AJ66" s="6">
        <f t="shared" si="47"/>
        <v>0.20564452100044908</v>
      </c>
      <c r="AK66" s="6">
        <f t="shared" si="47"/>
        <v>9.7682971100623461E-2</v>
      </c>
      <c r="AL66" s="7"/>
      <c r="AM66" s="6">
        <f t="shared" si="62"/>
        <v>0.21932608215753502</v>
      </c>
      <c r="AN66" s="6">
        <f t="shared" si="31"/>
        <v>0.26807102889540907</v>
      </c>
      <c r="AO66" s="6">
        <f t="shared" ref="AO66:AO67" si="64">SUM(AH66:AN66)</f>
        <v>1</v>
      </c>
      <c r="AP66" s="7">
        <f t="shared" ref="AP66:AP67" si="65">SUM(AH66:AM66)</f>
        <v>0.73192897110459099</v>
      </c>
      <c r="AQ66" s="7">
        <f t="shared" si="34"/>
        <v>0</v>
      </c>
      <c r="AR66" s="24"/>
      <c r="AS66">
        <f t="shared" si="35"/>
        <v>2017</v>
      </c>
      <c r="AT66" s="1" t="b">
        <f t="shared" si="36"/>
        <v>1</v>
      </c>
      <c r="AV66" s="1" t="b">
        <f t="shared" si="55"/>
        <v>1</v>
      </c>
      <c r="AW66" s="1" t="b">
        <f t="shared" si="56"/>
        <v>1</v>
      </c>
      <c r="AY66" s="1" t="b">
        <f t="shared" si="44"/>
        <v>1</v>
      </c>
      <c r="AZ66" s="1" t="b">
        <f t="shared" si="38"/>
        <v>1</v>
      </c>
      <c r="BA66" s="1" t="b">
        <f t="shared" si="39"/>
        <v>1</v>
      </c>
      <c r="BC66">
        <f t="shared" si="40"/>
        <v>2017</v>
      </c>
      <c r="BD66" s="2">
        <f t="shared" si="57"/>
        <v>79059.718024685964</v>
      </c>
      <c r="BE66" s="2"/>
      <c r="BF66" s="2">
        <f t="shared" si="48"/>
        <v>79059.718024685964</v>
      </c>
      <c r="BG66" s="2">
        <f t="shared" si="48"/>
        <v>39529.859012342982</v>
      </c>
      <c r="BH66" s="2"/>
      <c r="BI66" s="2">
        <f t="shared" si="58"/>
        <v>79059.718024685964</v>
      </c>
      <c r="BJ66" s="2">
        <f t="shared" si="49"/>
        <v>118589.57703702892</v>
      </c>
      <c r="BK66" s="2">
        <f t="shared" si="41"/>
        <v>395298.59012342978</v>
      </c>
      <c r="BL66" s="2">
        <f t="shared" si="42"/>
        <v>0</v>
      </c>
      <c r="BM66" s="20"/>
    </row>
    <row r="67" spans="1:65" x14ac:dyDescent="0.25">
      <c r="A67">
        <f t="shared" si="6"/>
        <v>2017</v>
      </c>
      <c r="B67" s="2">
        <f t="shared" si="46"/>
        <v>96191.958920635399</v>
      </c>
      <c r="C67" s="2"/>
      <c r="D67" s="2">
        <f t="shared" si="50"/>
        <v>94555.422757524415</v>
      </c>
      <c r="E67" s="2">
        <f t="shared" si="51"/>
        <v>45894.166313330206</v>
      </c>
      <c r="F67" s="2"/>
      <c r="G67" s="2">
        <f t="shared" si="45"/>
        <v>100722.08076344992</v>
      </c>
      <c r="H67" s="2">
        <f t="shared" si="15"/>
        <v>122692.77640251012</v>
      </c>
      <c r="I67" s="2">
        <f t="shared" ref="I67" si="66">SUM(B67:H67)</f>
        <v>460056.40515745006</v>
      </c>
      <c r="J67" s="2">
        <f t="shared" si="16"/>
        <v>56576.287024709047</v>
      </c>
      <c r="K67" s="6">
        <f t="shared" si="17"/>
        <v>0.14022075557660069</v>
      </c>
      <c r="L67" s="7">
        <f t="shared" si="18"/>
        <v>1.1402207555766006</v>
      </c>
      <c r="N67">
        <f t="shared" si="19"/>
        <v>2017</v>
      </c>
      <c r="O67" s="2">
        <f t="shared" si="20"/>
        <v>8363.9760839189003</v>
      </c>
      <c r="P67" s="2"/>
      <c r="R67">
        <f t="shared" si="21"/>
        <v>2017</v>
      </c>
      <c r="S67" s="2">
        <f t="shared" si="52"/>
        <v>94519.16370385162</v>
      </c>
      <c r="T67" s="2"/>
      <c r="U67" s="2">
        <f t="shared" si="53"/>
        <v>92882.627540740636</v>
      </c>
      <c r="V67" s="2">
        <f t="shared" si="53"/>
        <v>44221.371096546427</v>
      </c>
      <c r="W67" s="2"/>
      <c r="X67" s="2">
        <f t="shared" si="54"/>
        <v>99049.285546666142</v>
      </c>
      <c r="Y67" s="2">
        <f t="shared" si="54"/>
        <v>121019.98118572634</v>
      </c>
      <c r="Z67" s="2">
        <f t="shared" si="24"/>
        <v>451692.42907353118</v>
      </c>
      <c r="AA67" s="2">
        <f t="shared" si="60"/>
        <v>56393.838950101403</v>
      </c>
      <c r="AB67" s="6">
        <f t="shared" si="61"/>
        <v>0.14266137132564208</v>
      </c>
      <c r="AC67" s="7">
        <f t="shared" si="27"/>
        <v>1.1426613713256422</v>
      </c>
      <c r="AD67" s="2">
        <f t="shared" si="28"/>
        <v>0</v>
      </c>
      <c r="AE67" s="2"/>
      <c r="AG67">
        <f t="shared" si="29"/>
        <v>2017</v>
      </c>
      <c r="AH67" s="6">
        <f t="shared" si="59"/>
        <v>0.20925558548262674</v>
      </c>
      <c r="AI67" s="7"/>
      <c r="AJ67" s="6">
        <f t="shared" ref="AJ67:AK67" si="67">U67/$Z67</f>
        <v>0.20563246484173467</v>
      </c>
      <c r="AK67" s="6">
        <f t="shared" si="67"/>
        <v>9.7901510519556686E-2</v>
      </c>
      <c r="AL67" s="7"/>
      <c r="AM67" s="6">
        <f t="shared" si="62"/>
        <v>0.21928480348857446</v>
      </c>
      <c r="AN67" s="6">
        <f t="shared" si="31"/>
        <v>0.26792563566750738</v>
      </c>
      <c r="AO67" s="6">
        <f t="shared" si="64"/>
        <v>0.99999999999999989</v>
      </c>
      <c r="AP67" s="7">
        <f t="shared" si="65"/>
        <v>0.73207436433249251</v>
      </c>
      <c r="AQ67" s="7">
        <f t="shared" si="34"/>
        <v>0</v>
      </c>
      <c r="AR67" s="24"/>
      <c r="AS67">
        <f t="shared" si="35"/>
        <v>2017</v>
      </c>
      <c r="AT67" s="1" t="b">
        <f t="shared" si="36"/>
        <v>1</v>
      </c>
      <c r="AV67" s="1" t="b">
        <f t="shared" si="55"/>
        <v>1</v>
      </c>
      <c r="AW67" s="1" t="b">
        <f t="shared" si="56"/>
        <v>1</v>
      </c>
      <c r="AY67" s="1" t="b">
        <f t="shared" si="44"/>
        <v>1</v>
      </c>
      <c r="AZ67" s="1" t="b">
        <f t="shared" si="38"/>
        <v>1</v>
      </c>
      <c r="BA67" s="1" t="b">
        <f t="shared" si="39"/>
        <v>1</v>
      </c>
      <c r="BC67">
        <f t="shared" si="40"/>
        <v>2017</v>
      </c>
      <c r="BD67" s="2">
        <f t="shared" si="57"/>
        <v>90338.485814706248</v>
      </c>
      <c r="BE67" s="2"/>
      <c r="BF67" s="2">
        <f t="shared" ref="BF67:BG69" si="68">$BK67*BF$39</f>
        <v>90338.485814706248</v>
      </c>
      <c r="BG67" s="2">
        <f t="shared" si="68"/>
        <v>45169.242907353124</v>
      </c>
      <c r="BH67" s="2"/>
      <c r="BI67" s="2">
        <f t="shared" si="58"/>
        <v>90338.485814706248</v>
      </c>
      <c r="BJ67" s="2">
        <f t="shared" si="49"/>
        <v>135507.72872205934</v>
      </c>
      <c r="BK67" s="2">
        <f t="shared" si="41"/>
        <v>451692.42907353118</v>
      </c>
      <c r="BL67" s="2">
        <f t="shared" si="42"/>
        <v>0</v>
      </c>
      <c r="BM67" s="20"/>
    </row>
    <row r="68" spans="1:65" x14ac:dyDescent="0.25">
      <c r="A68">
        <f t="shared" si="6"/>
        <v>2017</v>
      </c>
      <c r="B68" s="2">
        <f t="shared" si="46"/>
        <v>109914.83569075308</v>
      </c>
      <c r="C68" s="2"/>
      <c r="D68" s="2">
        <f t="shared" si="50"/>
        <v>108044.82903438866</v>
      </c>
      <c r="E68" s="2">
        <f t="shared" si="51"/>
        <v>52441.491015436979</v>
      </c>
      <c r="F68" s="2"/>
      <c r="G68" s="2">
        <f t="shared" si="45"/>
        <v>115091.23092793576</v>
      </c>
      <c r="H68" s="2">
        <f t="shared" si="15"/>
        <v>140196.2961358426</v>
      </c>
      <c r="I68" s="2">
        <f t="shared" ref="I68:I69" si="69">SUM(B68:H68)</f>
        <v>525688.68280435703</v>
      </c>
      <c r="J68" s="2">
        <f t="shared" ref="J68:J69" si="70">I68-I67</f>
        <v>65632.277646906965</v>
      </c>
      <c r="K68" s="6">
        <f t="shared" ref="K68:K69" si="71">(J68/I67)</f>
        <v>0.14266137132564197</v>
      </c>
      <c r="L68" s="7">
        <f t="shared" ref="L68:L69" si="72">K68+1</f>
        <v>1.1426613713256419</v>
      </c>
      <c r="N68">
        <f t="shared" ref="N68:N69" si="73">A68</f>
        <v>2017</v>
      </c>
      <c r="O68" s="2">
        <f t="shared" si="20"/>
        <v>8550.4927505902924</v>
      </c>
      <c r="P68" s="2"/>
      <c r="R68">
        <f t="shared" ref="R68:R69" si="74">A68</f>
        <v>2017</v>
      </c>
      <c r="S68" s="2">
        <f t="shared" ref="S68:S69" si="75">B68-($O68/5)</f>
        <v>108204.73714063503</v>
      </c>
      <c r="T68" s="2"/>
      <c r="U68" s="2">
        <f t="shared" ref="U68:U69" si="76">D68-($O68/5)</f>
        <v>106334.73048427061</v>
      </c>
      <c r="V68" s="2">
        <f t="shared" ref="V68:V69" si="77">E68-($O68/5)</f>
        <v>50731.392465318917</v>
      </c>
      <c r="W68" s="2"/>
      <c r="X68" s="2">
        <f t="shared" ref="X68:X69" si="78">G68-($O68/5)</f>
        <v>113381.1323778177</v>
      </c>
      <c r="Y68" s="2">
        <f t="shared" ref="Y68:Y69" si="79">H68-($O68/5)</f>
        <v>138486.19758572453</v>
      </c>
      <c r="Z68" s="2">
        <f t="shared" ref="Z68:Z69" si="80">SUM(S68:Y68)</f>
        <v>517138.19005376677</v>
      </c>
      <c r="AA68" s="2">
        <f t="shared" ref="AA68:AA69" si="81">Z68-Z67</f>
        <v>65445.760980235587</v>
      </c>
      <c r="AB68" s="6">
        <f t="shared" ref="AB68:AB69" si="82">(AA68/Z67)</f>
        <v>0.14489009947426337</v>
      </c>
      <c r="AC68" s="7">
        <f t="shared" ref="AC68:AC69" si="83">AB68+1</f>
        <v>1.1448900994742635</v>
      </c>
      <c r="AD68" s="2">
        <f t="shared" ref="AD68:AD69" si="84">Z68-(I68-O68)</f>
        <v>0</v>
      </c>
      <c r="AE68" s="2"/>
      <c r="AG68">
        <f t="shared" ref="AG68:AG69" si="85">A68</f>
        <v>2017</v>
      </c>
      <c r="AH68" s="6">
        <f t="shared" ref="AH68:AH69" si="86">S68/$Z68</f>
        <v>0.20923756787210979</v>
      </c>
      <c r="AI68" s="7"/>
      <c r="AJ68" s="6">
        <f t="shared" ref="AJ68:AJ69" si="87">U68/$Z68</f>
        <v>0.20562150026710463</v>
      </c>
      <c r="AK68" s="6">
        <f t="shared" ref="AK68:AK69" si="88">V68/$Z68</f>
        <v>9.8100263026492746E-2</v>
      </c>
      <c r="AL68" s="7"/>
      <c r="AM68" s="6">
        <f t="shared" ref="AM68:AM69" si="89">X68/$Z68</f>
        <v>0.2192472622569791</v>
      </c>
      <c r="AN68" s="6">
        <f t="shared" ref="AN68:AN69" si="90">Y68/$Z68</f>
        <v>0.26779340657731376</v>
      </c>
      <c r="AO68" s="6">
        <f t="shared" ref="AO68:AO69" si="91">SUM(AH68:AN68)</f>
        <v>1</v>
      </c>
      <c r="AP68" s="7">
        <f t="shared" ref="AP68:AP69" si="92">SUM(AH68:AM68)</f>
        <v>0.73220659342268624</v>
      </c>
      <c r="AQ68" s="7">
        <f t="shared" ref="AQ68:AQ69" si="93">AO68-(AP68+AN68)</f>
        <v>0</v>
      </c>
      <c r="AR68" s="24"/>
      <c r="AS68">
        <f t="shared" ref="AS68:AS69" si="94">AG68</f>
        <v>2017</v>
      </c>
      <c r="AT68" s="1" t="b">
        <f t="shared" ref="AT68:AT69" si="95">AND((S68/$Z68)&gt;0.15,(S68/$Z68)&lt;0.25)</f>
        <v>1</v>
      </c>
      <c r="AV68" s="1" t="b">
        <f t="shared" ref="AV68:AV69" si="96">AND((U68/$Z68)&gt;0.15,(U68/$Z68)&lt;0.25)</f>
        <v>1</v>
      </c>
      <c r="AW68" s="1" t="b">
        <f t="shared" ref="AW68:AW69" si="97">AND((V68/$Z68)&gt;0.05,(V68/$Z68)&lt;0.15)</f>
        <v>1</v>
      </c>
      <c r="AY68" s="1" t="b">
        <f t="shared" ref="AY68:AY69" si="98">AND((X68/$Z68)&gt;0.15,(X68/$Z68)&lt;0.25)</f>
        <v>1</v>
      </c>
      <c r="AZ68" s="1" t="b">
        <f t="shared" ref="AZ68:AZ69" si="99">AND((Y68/$Z68)&gt;0.25,(Y68/$Z68)&lt;0.35)</f>
        <v>1</v>
      </c>
      <c r="BA68" s="1" t="b">
        <f t="shared" ref="BA68:BA69" si="100">AND((Z68/$Z68)&gt;0.999,(Z68/$Z68)&lt;1.01)</f>
        <v>1</v>
      </c>
      <c r="BC68">
        <f t="shared" ref="BC68:BC69" si="101">AS68</f>
        <v>2017</v>
      </c>
      <c r="BD68" s="2">
        <f t="shared" si="57"/>
        <v>103427.63801075336</v>
      </c>
      <c r="BE68" s="2"/>
      <c r="BF68" s="2">
        <f t="shared" si="68"/>
        <v>103427.63801075336</v>
      </c>
      <c r="BG68" s="2">
        <f t="shared" si="68"/>
        <v>51713.819005376681</v>
      </c>
      <c r="BH68" s="2"/>
      <c r="BI68" s="2">
        <f t="shared" si="58"/>
        <v>103427.63801075336</v>
      </c>
      <c r="BJ68" s="2">
        <f t="shared" si="49"/>
        <v>155141.45701613004</v>
      </c>
      <c r="BK68" s="2">
        <f t="shared" ref="BK68:BK69" si="102">Z68</f>
        <v>517138.19005376677</v>
      </c>
      <c r="BL68" s="2">
        <f t="shared" ref="BL68:BL69" si="103">SUM(BD68:BJ68)-Z68</f>
        <v>0</v>
      </c>
      <c r="BM68" s="20"/>
    </row>
    <row r="69" spans="1:65" x14ac:dyDescent="0.25">
      <c r="A69">
        <f t="shared" si="6"/>
        <v>2017</v>
      </c>
      <c r="B69" s="2">
        <f t="shared" si="46"/>
        <v>125840.4071676836</v>
      </c>
      <c r="C69" s="2"/>
      <c r="D69" s="2">
        <f t="shared" si="50"/>
        <v>123699.45506086102</v>
      </c>
      <c r="E69" s="2">
        <f t="shared" si="51"/>
        <v>60039.74386524233</v>
      </c>
      <c r="F69" s="2"/>
      <c r="G69" s="2">
        <f t="shared" si="45"/>
        <v>131766.81082569979</v>
      </c>
      <c r="H69" s="2">
        <f t="shared" si="15"/>
        <v>160509.35142888813</v>
      </c>
      <c r="I69" s="2">
        <f t="shared" si="69"/>
        <v>601855.76834837487</v>
      </c>
      <c r="J69" s="2">
        <f t="shared" si="70"/>
        <v>76167.085544017842</v>
      </c>
      <c r="K69" s="6">
        <f t="shared" si="71"/>
        <v>0.14489009947426351</v>
      </c>
      <c r="L69" s="7">
        <f t="shared" si="72"/>
        <v>1.1448900994742635</v>
      </c>
      <c r="N69">
        <f t="shared" si="73"/>
        <v>2017</v>
      </c>
      <c r="O69" s="2">
        <f t="shared" si="20"/>
        <v>8741.1687389284562</v>
      </c>
      <c r="P69" s="2"/>
      <c r="R69">
        <f t="shared" si="74"/>
        <v>2017</v>
      </c>
      <c r="S69" s="2">
        <f t="shared" si="75"/>
        <v>124092.17341989791</v>
      </c>
      <c r="T69" s="2"/>
      <c r="U69" s="2">
        <f t="shared" si="76"/>
        <v>121951.22131307532</v>
      </c>
      <c r="V69" s="2">
        <f t="shared" si="77"/>
        <v>58291.510117456637</v>
      </c>
      <c r="W69" s="2"/>
      <c r="X69" s="2">
        <f t="shared" si="78"/>
        <v>130018.5770779141</v>
      </c>
      <c r="Y69" s="2">
        <f t="shared" si="79"/>
        <v>158761.11768110245</v>
      </c>
      <c r="Z69" s="2">
        <f t="shared" si="80"/>
        <v>593114.59960944636</v>
      </c>
      <c r="AA69" s="2">
        <f t="shared" si="81"/>
        <v>75976.409555679595</v>
      </c>
      <c r="AB69" s="6">
        <f t="shared" si="82"/>
        <v>0.14691703497624173</v>
      </c>
      <c r="AC69" s="7">
        <f t="shared" si="83"/>
        <v>1.1469170349762416</v>
      </c>
      <c r="AD69" s="2">
        <f t="shared" si="84"/>
        <v>0</v>
      </c>
      <c r="AE69" s="2"/>
      <c r="AG69">
        <f t="shared" si="85"/>
        <v>2017</v>
      </c>
      <c r="AH69" s="6">
        <f t="shared" si="86"/>
        <v>0.20922124240679629</v>
      </c>
      <c r="AI69" s="7"/>
      <c r="AJ69" s="6">
        <f t="shared" si="87"/>
        <v>0.20561156544347023</v>
      </c>
      <c r="AK69" s="6">
        <f t="shared" si="88"/>
        <v>9.8280349456648652E-2</v>
      </c>
      <c r="AL69" s="7"/>
      <c r="AM69" s="6">
        <f t="shared" si="89"/>
        <v>0.21921324675455406</v>
      </c>
      <c r="AN69" s="6">
        <f t="shared" si="90"/>
        <v>0.26767359593853085</v>
      </c>
      <c r="AO69" s="6">
        <f t="shared" si="91"/>
        <v>1</v>
      </c>
      <c r="AP69" s="7">
        <f t="shared" si="92"/>
        <v>0.7323264040614692</v>
      </c>
      <c r="AQ69" s="7">
        <f t="shared" si="93"/>
        <v>0</v>
      </c>
      <c r="AR69" s="24"/>
      <c r="AS69">
        <f t="shared" si="94"/>
        <v>2017</v>
      </c>
      <c r="AT69" s="1" t="b">
        <f t="shared" si="95"/>
        <v>1</v>
      </c>
      <c r="AV69" s="1" t="b">
        <f t="shared" si="96"/>
        <v>1</v>
      </c>
      <c r="AW69" s="1" t="b">
        <f t="shared" si="97"/>
        <v>1</v>
      </c>
      <c r="AY69" s="1" t="b">
        <f t="shared" si="98"/>
        <v>1</v>
      </c>
      <c r="AZ69" s="1" t="b">
        <f t="shared" si="99"/>
        <v>1</v>
      </c>
      <c r="BA69" s="1" t="b">
        <f t="shared" si="100"/>
        <v>1</v>
      </c>
      <c r="BC69">
        <f t="shared" si="101"/>
        <v>2017</v>
      </c>
      <c r="BD69" s="2">
        <f t="shared" si="57"/>
        <v>118622.91992188928</v>
      </c>
      <c r="BE69" s="2"/>
      <c r="BF69" s="2">
        <f t="shared" si="68"/>
        <v>118622.91992188928</v>
      </c>
      <c r="BG69" s="2">
        <f t="shared" si="68"/>
        <v>59311.459960944638</v>
      </c>
      <c r="BH69" s="2"/>
      <c r="BI69" s="2">
        <f t="shared" si="58"/>
        <v>118622.91992188928</v>
      </c>
      <c r="BJ69" s="2">
        <f t="shared" si="49"/>
        <v>177934.37988283389</v>
      </c>
      <c r="BK69" s="2">
        <f t="shared" si="102"/>
        <v>593114.59960944636</v>
      </c>
      <c r="BL69" s="2">
        <f t="shared" si="103"/>
        <v>0</v>
      </c>
      <c r="BM69" s="20"/>
    </row>
    <row r="70" spans="1:65" x14ac:dyDescent="0.25">
      <c r="A70" s="9" t="s">
        <v>79</v>
      </c>
      <c r="B70" s="10">
        <f>BD69</f>
        <v>118622.91992188928</v>
      </c>
      <c r="C70" s="10"/>
      <c r="D70" s="10">
        <f>BF69</f>
        <v>118622.91992188928</v>
      </c>
      <c r="E70" s="10">
        <f>BG69</f>
        <v>59311.459960944638</v>
      </c>
      <c r="F70" s="10"/>
      <c r="G70" s="10">
        <f>BI69</f>
        <v>118622.91992188928</v>
      </c>
      <c r="H70" s="10">
        <f>BJ69</f>
        <v>177934.37988283389</v>
      </c>
      <c r="I70" s="10">
        <f>SUM(B70:H70)</f>
        <v>593114.59960944636</v>
      </c>
      <c r="J70" s="10"/>
      <c r="K70" s="10"/>
      <c r="L70" s="74"/>
      <c r="N70" t="s">
        <v>40</v>
      </c>
      <c r="O70" s="2">
        <f>O66</f>
        <v>8181.5280093112588</v>
      </c>
      <c r="P70" s="2"/>
      <c r="R70" s="9" t="s">
        <v>79</v>
      </c>
      <c r="S70" s="10">
        <f>S69</f>
        <v>124092.17341989791</v>
      </c>
      <c r="T70" s="10"/>
      <c r="U70" s="10">
        <f>U69</f>
        <v>121951.22131307532</v>
      </c>
      <c r="V70" s="10">
        <f>V69</f>
        <v>58291.510117456637</v>
      </c>
      <c r="W70" s="10"/>
      <c r="X70" s="10">
        <f>X69</f>
        <v>130018.5770779141</v>
      </c>
      <c r="Y70" s="10">
        <f>Y69</f>
        <v>158761.11768110245</v>
      </c>
      <c r="Z70" s="10">
        <f>SUM(S70:Y70)</f>
        <v>593114.59960944636</v>
      </c>
      <c r="AA70" s="10"/>
      <c r="AB70" s="10"/>
      <c r="AC70" s="74"/>
      <c r="AD70" s="10"/>
      <c r="AE70" s="43"/>
      <c r="AK70" s="7"/>
      <c r="BC70" s="21"/>
      <c r="BD70" s="22"/>
      <c r="BF70" s="22"/>
      <c r="BG70" s="22"/>
      <c r="BI70" s="22"/>
      <c r="BJ70" s="22"/>
    </row>
    <row r="71" spans="1:65" x14ac:dyDescent="0.25">
      <c r="A71" s="11" t="s">
        <v>11</v>
      </c>
      <c r="I71" s="6">
        <f>(Z70-Z39)/Z39</f>
        <v>4.9311459960944637</v>
      </c>
      <c r="K71" s="6"/>
      <c r="N71" t="s">
        <v>71</v>
      </c>
      <c r="O71" s="2">
        <f>SUM(O40:O69)</f>
        <v>198195.99869006357</v>
      </c>
      <c r="P71" s="2"/>
      <c r="AB71" s="6"/>
      <c r="BF71" s="22"/>
    </row>
    <row r="72" spans="1:65" x14ac:dyDescent="0.25">
      <c r="A72" s="1" t="s">
        <v>12</v>
      </c>
      <c r="I72" s="12">
        <f>STDEV(AC40:AC69)</f>
        <v>0.10368159735863165</v>
      </c>
    </row>
    <row r="73" spans="1:65" x14ac:dyDescent="0.25">
      <c r="A73" s="1" t="s">
        <v>13</v>
      </c>
      <c r="I73" s="13">
        <f>((1+I71)^(1/I80))-1</f>
        <v>6.1136582809850015E-2</v>
      </c>
    </row>
    <row r="74" spans="1:65" x14ac:dyDescent="0.25">
      <c r="A74" s="1" t="s">
        <v>83</v>
      </c>
      <c r="I74" s="31">
        <f>J60</f>
        <v>35708.480201074563</v>
      </c>
      <c r="O74" s="2"/>
      <c r="P74" s="2"/>
    </row>
    <row r="75" spans="1:65" x14ac:dyDescent="0.25">
      <c r="A75" s="1" t="s">
        <v>84</v>
      </c>
      <c r="I75" s="32">
        <f>K60</f>
        <v>0.15673200637579987</v>
      </c>
    </row>
    <row r="76" spans="1:65" x14ac:dyDescent="0.25">
      <c r="A76" s="1" t="s">
        <v>43</v>
      </c>
      <c r="I76" s="2">
        <f>O71</f>
        <v>198195.99869006357</v>
      </c>
    </row>
    <row r="77" spans="1:65" x14ac:dyDescent="0.25">
      <c r="A77" s="3" t="s">
        <v>5</v>
      </c>
      <c r="B77" s="3"/>
      <c r="C77" s="3"/>
      <c r="D77" s="3"/>
      <c r="E77" s="3"/>
      <c r="F77" s="3"/>
      <c r="G77" s="3"/>
      <c r="H77" s="3"/>
      <c r="I77" s="33">
        <f>I70-Z70</f>
        <v>0</v>
      </c>
      <c r="Z77" s="2"/>
    </row>
    <row r="78" spans="1:65" x14ac:dyDescent="0.25">
      <c r="A78" s="3" t="s">
        <v>149</v>
      </c>
      <c r="B78" s="3"/>
      <c r="C78" s="3"/>
      <c r="D78" s="3"/>
      <c r="E78" s="3"/>
      <c r="F78" s="3"/>
      <c r="G78" s="3"/>
      <c r="H78" s="3"/>
      <c r="I78" s="33">
        <f>((SUM(AA40:AA69)))-(I70-I39)</f>
        <v>0</v>
      </c>
    </row>
    <row r="79" spans="1:65" x14ac:dyDescent="0.25">
      <c r="A79" s="3" t="s">
        <v>148</v>
      </c>
      <c r="B79" s="3"/>
      <c r="C79" s="3"/>
      <c r="D79" s="3"/>
      <c r="E79" s="3"/>
      <c r="F79" s="3"/>
      <c r="G79" s="3"/>
      <c r="H79" s="3"/>
      <c r="I79" s="33">
        <f>(SUM(O40:O69))-I76</f>
        <v>0</v>
      </c>
      <c r="Z79" s="73"/>
    </row>
    <row r="80" spans="1:65" x14ac:dyDescent="0.25">
      <c r="A80" s="3" t="s">
        <v>160</v>
      </c>
      <c r="B80" s="3"/>
      <c r="C80" s="3"/>
      <c r="D80" s="3"/>
      <c r="E80" s="3"/>
      <c r="F80" s="3"/>
      <c r="G80" s="3"/>
      <c r="H80" s="3"/>
      <c r="I80" s="75">
        <f>COUNTA(I40:I69)</f>
        <v>30</v>
      </c>
    </row>
    <row r="81" spans="2:9" x14ac:dyDescent="0.25">
      <c r="B81" s="63"/>
      <c r="C81" s="63"/>
      <c r="D81" s="63"/>
      <c r="E81" s="63"/>
      <c r="G81" s="63"/>
      <c r="H81" s="63"/>
      <c r="I81" s="63"/>
    </row>
    <row r="82" spans="2:9" x14ac:dyDescent="0.25">
      <c r="B82" s="2"/>
      <c r="D82" s="2"/>
      <c r="E82" s="2"/>
      <c r="G82" s="2"/>
      <c r="H82" s="2"/>
      <c r="I82" s="2"/>
    </row>
  </sheetData>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H80"/>
  <sheetViews>
    <sheetView zoomScaleNormal="100" workbookViewId="0">
      <selection activeCell="A30" sqref="A30"/>
    </sheetView>
  </sheetViews>
  <sheetFormatPr defaultColWidth="8.85546875" defaultRowHeight="15" x14ac:dyDescent="0.25"/>
  <cols>
    <col min="1" max="1" width="25.42578125" customWidth="1"/>
    <col min="2" max="4" width="9.28515625" bestFit="1" customWidth="1"/>
    <col min="7" max="7" width="9.85546875" bestFit="1" customWidth="1"/>
    <col min="8" max="8" width="9.28515625" bestFit="1"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5" max="25" width="9.28515625" bestFit="1" customWidth="1"/>
    <col min="26" max="26" width="10.85546875" bestFit="1" customWidth="1"/>
    <col min="27" max="31" width="10.85546875" customWidth="1"/>
    <col min="46" max="46" width="10.85546875" bestFit="1" customWidth="1"/>
    <col min="47" max="48" width="9.28515625" bestFit="1" customWidth="1"/>
    <col min="51" max="51" width="9.85546875" bestFit="1" customWidth="1"/>
    <col min="52" max="5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c r="N4" s="49">
        <f>'4% Withdrawals-No Rebalancing'!N4</f>
        <v>1993</v>
      </c>
      <c r="O4" s="50">
        <f>'4% Withdrawals-No Rebalancing'!O4</f>
        <v>0.03</v>
      </c>
      <c r="P4" s="44"/>
    </row>
    <row r="5" spans="1:16"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c r="N5" s="49">
        <f>'4% Withdrawals-No Rebalancing'!N5</f>
        <v>1994</v>
      </c>
      <c r="O5" s="50">
        <f>'4% Withdrawals-No Rebalancing'!O5</f>
        <v>2.8000000000000001E-2</v>
      </c>
      <c r="P5" s="44"/>
    </row>
    <row r="6" spans="1:16"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c r="N6" s="49">
        <f>'4% Withdrawals-No Rebalancing'!N6</f>
        <v>1995</v>
      </c>
      <c r="O6" s="50">
        <f>'4% Withdrawals-No Rebalancing'!O6</f>
        <v>2.5999999999999999E-2</v>
      </c>
      <c r="P6" s="44"/>
    </row>
    <row r="7" spans="1:16"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c r="N7" s="49">
        <f>'4% Withdrawals-No Rebalancing'!N7</f>
        <v>1996</v>
      </c>
      <c r="O7" s="50">
        <f>'4% Withdrawals-No Rebalancing'!O7</f>
        <v>2.5000000000000001E-2</v>
      </c>
      <c r="P7" s="44"/>
    </row>
    <row r="8" spans="1:16" x14ac:dyDescent="0.25">
      <c r="A8" s="17">
        <f>'Non-Rebalanced Portfolio'!A8</f>
        <v>1997</v>
      </c>
      <c r="B8" s="17">
        <f>'Non-Rebalanced Portfolio'!B8</f>
        <v>33.19</v>
      </c>
      <c r="C8" s="17">
        <f>'Non-Rebalanced Portfolio'!C8</f>
        <v>26.687000000000001</v>
      </c>
      <c r="D8" s="17"/>
      <c r="E8" s="17"/>
      <c r="F8" s="17">
        <f>'Non-Rebalanced Portfolio'!F8</f>
        <v>0</v>
      </c>
      <c r="G8" s="17"/>
      <c r="H8" s="17">
        <f>'Non-Rebalanced Portfolio'!H8</f>
        <v>9.44</v>
      </c>
      <c r="N8" s="49">
        <f>'4% Withdrawals-No Rebalancing'!N8</f>
        <v>1997</v>
      </c>
      <c r="O8" s="50">
        <f>'4% Withdrawals-No Rebalancing'!O8</f>
        <v>3.4000000000000002E-2</v>
      </c>
      <c r="P8" s="44"/>
    </row>
    <row r="9" spans="1:16" x14ac:dyDescent="0.25">
      <c r="A9" s="17">
        <f>'Non-Rebalanced Portfolio'!A9</f>
        <v>1998</v>
      </c>
      <c r="B9" s="17">
        <f>'Non-Rebalanced Portfolio'!B9</f>
        <v>28.66</v>
      </c>
      <c r="C9" s="17">
        <f>'Non-Rebalanced Portfolio'!C9</f>
        <v>8.3529999999999998</v>
      </c>
      <c r="D9" s="17"/>
      <c r="E9" s="17"/>
      <c r="F9" s="17">
        <f>'Non-Rebalanced Portfolio'!F9</f>
        <v>0</v>
      </c>
      <c r="G9" s="17"/>
      <c r="H9" s="17">
        <f>'Non-Rebalanced Portfolio'!H9</f>
        <v>8.58</v>
      </c>
      <c r="N9" s="49">
        <f>'4% Withdrawals-No Rebalancing'!N9</f>
        <v>1998</v>
      </c>
      <c r="O9" s="50">
        <f>'4% Withdrawals-No Rebalancing'!O9</f>
        <v>1.7000000000000001E-2</v>
      </c>
      <c r="P9" s="44"/>
    </row>
    <row r="10" spans="1:16" x14ac:dyDescent="0.25">
      <c r="A10" s="17">
        <f>'Non-Rebalanced Portfolio'!A10</f>
        <v>1999</v>
      </c>
      <c r="B10" s="17">
        <f>'Non-Rebalanced Portfolio'!B10</f>
        <v>21.07</v>
      </c>
      <c r="C10" s="17">
        <f>'Non-Rebalanced Portfolio'!C10</f>
        <v>0</v>
      </c>
      <c r="D10" s="17"/>
      <c r="E10" s="17"/>
      <c r="F10" s="17">
        <f>'Non-Rebalanced Portfolio'!F10</f>
        <v>0</v>
      </c>
      <c r="G10" s="17"/>
      <c r="H10" s="17">
        <f>'Non-Rebalanced Portfolio'!H10</f>
        <v>-0.76</v>
      </c>
      <c r="N10" s="49">
        <f>'4% Withdrawals-No Rebalancing'!N10</f>
        <v>1999</v>
      </c>
      <c r="O10" s="50">
        <f>'4% Withdrawals-No Rebalancing'!O10</f>
        <v>1.6E-2</v>
      </c>
      <c r="P10" s="44"/>
    </row>
    <row r="11" spans="1:16" x14ac:dyDescent="0.25">
      <c r="A11" s="17">
        <f>'Non-Rebalanced Portfolio'!A11</f>
        <v>2000</v>
      </c>
      <c r="B11" s="17">
        <f>'Non-Rebalanced Portfolio'!B11</f>
        <v>-9.06</v>
      </c>
      <c r="C11" s="17">
        <f>'Non-Rebalanced Portfolio'!C11</f>
        <v>0</v>
      </c>
      <c r="D11" s="17"/>
      <c r="E11" s="17"/>
      <c r="F11" s="17">
        <f>'Non-Rebalanced Portfolio'!F11</f>
        <v>0</v>
      </c>
      <c r="G11" s="17"/>
      <c r="H11" s="17">
        <f>'Non-Rebalanced Portfolio'!H11</f>
        <v>11.39</v>
      </c>
      <c r="N11" s="49">
        <f>'4% Withdrawals-No Rebalancing'!N11</f>
        <v>2000</v>
      </c>
      <c r="O11" s="50">
        <f>'4% Withdrawals-No Rebalancing'!O11</f>
        <v>2.7E-2</v>
      </c>
      <c r="P11" s="44"/>
    </row>
    <row r="12" spans="1:16" x14ac:dyDescent="0.25">
      <c r="A12" s="17">
        <f>'Non-Rebalanced Portfolio'!A12</f>
        <v>2001</v>
      </c>
      <c r="B12" s="17">
        <f>'Non-Rebalanced Portfolio'!B12</f>
        <v>-12.02</v>
      </c>
      <c r="C12" s="17">
        <f>'Non-Rebalanced Portfolio'!C12</f>
        <v>0</v>
      </c>
      <c r="D12" s="17"/>
      <c r="E12" s="17"/>
      <c r="F12" s="17">
        <f>'Non-Rebalanced Portfolio'!F12</f>
        <v>0</v>
      </c>
      <c r="G12" s="17"/>
      <c r="H12" s="17">
        <f>'Non-Rebalanced Portfolio'!H12</f>
        <v>8.43</v>
      </c>
      <c r="N12" s="49">
        <f>'4% Withdrawals-No Rebalancing'!N12</f>
        <v>2001</v>
      </c>
      <c r="O12" s="50">
        <f>'4% Withdrawals-No Rebalancing'!O12</f>
        <v>3.4000000000000002E-2</v>
      </c>
      <c r="P12" s="44"/>
    </row>
    <row r="13" spans="1:16" x14ac:dyDescent="0.25">
      <c r="A13" s="17">
        <f>'Non-Rebalanced Portfolio'!A13</f>
        <v>2002</v>
      </c>
      <c r="B13" s="17">
        <f>'Non-Rebalanced Portfolio'!B13</f>
        <v>-22.15</v>
      </c>
      <c r="C13" s="17">
        <f>'Non-Rebalanced Portfolio'!C13</f>
        <v>0</v>
      </c>
      <c r="D13" s="17"/>
      <c r="E13" s="17"/>
      <c r="F13" s="17"/>
      <c r="G13" s="17">
        <f>'Non-Rebalanced Portfolio'!G13</f>
        <v>-15.083</v>
      </c>
      <c r="H13" s="17">
        <f>'Non-Rebalanced Portfolio'!H13</f>
        <v>8.26</v>
      </c>
      <c r="N13" s="49">
        <f>'4% Withdrawals-No Rebalancing'!N13</f>
        <v>2002</v>
      </c>
      <c r="O13" s="50">
        <f>'4% Withdrawals-No Rebalancing'!O13</f>
        <v>1.6E-2</v>
      </c>
      <c r="P13" s="44"/>
    </row>
    <row r="14" spans="1:16" x14ac:dyDescent="0.25">
      <c r="A14" s="17">
        <f>'Non-Rebalanced Portfolio'!A14</f>
        <v>2003</v>
      </c>
      <c r="B14" s="17">
        <f>'Non-Rebalanced Portfolio'!B14</f>
        <v>28.5</v>
      </c>
      <c r="C14" s="17">
        <f>'Non-Rebalanced Portfolio'!C14</f>
        <v>0</v>
      </c>
      <c r="D14" s="17"/>
      <c r="E14" s="17"/>
      <c r="F14" s="17"/>
      <c r="G14" s="17">
        <f>'Non-Rebalanced Portfolio'!G14</f>
        <v>40.340000000000003</v>
      </c>
      <c r="H14" s="17">
        <f>'Non-Rebalanced Portfolio'!H14</f>
        <v>3.97</v>
      </c>
      <c r="N14" s="49">
        <f>'4% Withdrawals-No Rebalancing'!N14</f>
        <v>2003</v>
      </c>
      <c r="O14" s="50">
        <f>'4% Withdrawals-No Rebalancing'!O14</f>
        <v>2.5000000000000001E-2</v>
      </c>
      <c r="P14" s="44"/>
    </row>
    <row r="15" spans="1:16"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c r="N15" s="49">
        <f>'4% Withdrawals-No Rebalancing'!N15</f>
        <v>2004</v>
      </c>
      <c r="O15" s="50">
        <f>'4% Withdrawals-No Rebalancing'!O15</f>
        <v>0.02</v>
      </c>
      <c r="P15" s="44"/>
    </row>
    <row r="16" spans="1:16"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c r="N16" s="49">
        <f>'4% Withdrawals-No Rebalancing'!N16</f>
        <v>2005</v>
      </c>
      <c r="O16" s="50">
        <f>'4% Withdrawals-No Rebalancing'!O16</f>
        <v>3.3000000000000002E-2</v>
      </c>
      <c r="P16" s="44"/>
    </row>
    <row r="17" spans="1:16"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c r="N17" s="49">
        <f>'4% Withdrawals-No Rebalancing'!N17</f>
        <v>2006</v>
      </c>
      <c r="O17" s="50">
        <f>'4% Withdrawals-No Rebalancing'!O17</f>
        <v>3.3000000000000002E-2</v>
      </c>
      <c r="P17" s="44"/>
    </row>
    <row r="18" spans="1:16"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c r="N18" s="49">
        <f>'4% Withdrawals-No Rebalancing'!N18</f>
        <v>2007</v>
      </c>
      <c r="O18" s="50">
        <f>'4% Withdrawals-No Rebalancing'!O18</f>
        <v>2.5000000000000001E-2</v>
      </c>
      <c r="P18" s="44"/>
    </row>
    <row r="19" spans="1:16"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c r="N19" s="49">
        <f>'4% Withdrawals-No Rebalancing'!N19</f>
        <v>2008</v>
      </c>
      <c r="O19" s="50">
        <f>'4% Withdrawals-No Rebalancing'!O19</f>
        <v>4.1000000000000002E-2</v>
      </c>
      <c r="P19" s="44"/>
    </row>
    <row r="20" spans="1:16"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c r="N20" s="49">
        <f>'4% Withdrawals-No Rebalancing'!N20</f>
        <v>2009</v>
      </c>
      <c r="O20" s="50">
        <f>'4% Withdrawals-No Rebalancing'!O20</f>
        <v>0</v>
      </c>
      <c r="P20" s="44"/>
    </row>
    <row r="21" spans="1:16"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c r="N21" s="49">
        <f>'4% Withdrawals-No Rebalancing'!N21</f>
        <v>2010</v>
      </c>
      <c r="O21" s="50">
        <f>'4% Withdrawals-No Rebalancing'!O21</f>
        <v>2.8000000000000001E-2</v>
      </c>
      <c r="P21" s="44"/>
    </row>
    <row r="22" spans="1:16"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c r="N22" s="49">
        <f>'4% Withdrawals-No Rebalancing'!N22</f>
        <v>2011</v>
      </c>
      <c r="O22" s="50">
        <f>'4% Withdrawals-No Rebalancing'!O22</f>
        <v>1.4E-2</v>
      </c>
      <c r="P22" s="44"/>
    </row>
    <row r="23" spans="1:16"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c r="N23" s="49">
        <f>'4% Withdrawals-No Rebalancing'!N23</f>
        <v>2012</v>
      </c>
      <c r="O23" s="50">
        <f>'4% Withdrawals-No Rebalancing'!O23</f>
        <v>0.03</v>
      </c>
      <c r="P23" s="44"/>
    </row>
    <row r="24" spans="1:16"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c r="N24" s="49">
        <f>'4% Withdrawals-No Rebalancing'!N24</f>
        <v>2013</v>
      </c>
      <c r="O24" s="50">
        <f>'4% Withdrawals-No Rebalancing'!O24</f>
        <v>1.7999999999999999E-2</v>
      </c>
      <c r="P24" s="44"/>
    </row>
    <row r="25" spans="1:16"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c r="N25" s="49">
        <f>'4% Withdrawals-No Rebalancing'!N25</f>
        <v>2014</v>
      </c>
      <c r="O25" s="50">
        <f>'4% Withdrawals-No Rebalancing'!O25</f>
        <v>1.15559170535223E-2</v>
      </c>
      <c r="P25" s="44"/>
    </row>
    <row r="26" spans="1:16"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c r="N26" s="49">
        <f>'4% Withdrawals-No Rebalancing'!N26</f>
        <v>2015</v>
      </c>
      <c r="O26" s="50">
        <f>'4% Withdrawals-No Rebalancing'!O26</f>
        <v>1.29E-2</v>
      </c>
      <c r="P26" s="44"/>
    </row>
    <row r="27" spans="1:16"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c r="N27" s="49">
        <f>'4% Withdrawals-No Rebalancing'!N27</f>
        <v>2016</v>
      </c>
      <c r="O27" s="50">
        <f>'4% Withdrawals-No Rebalancing'!O27</f>
        <v>4.4000000000000003E-3</v>
      </c>
    </row>
    <row r="28" spans="1:16"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c r="N28" s="49">
        <f>'4% Withdrawals-No Rebalancing'!N28</f>
        <v>2017</v>
      </c>
      <c r="O28" s="50">
        <f>'4% Withdrawals-No Rebalancing'!O28</f>
        <v>1.7000000000000001E-2</v>
      </c>
    </row>
    <row r="29" spans="1:16"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c r="N29" s="49">
        <f>'4% Withdrawals-No Rebalancing'!N29</f>
        <v>2017</v>
      </c>
      <c r="O29" s="50">
        <f>'4% Withdrawals-No Rebalancing'!O29</f>
        <v>2.23E-2</v>
      </c>
    </row>
    <row r="30" spans="1:16"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c r="N30" s="49">
        <f>'4% Withdrawals-No Rebalancing'!N30</f>
        <v>2017</v>
      </c>
      <c r="O30" s="50">
        <f>'4% Withdrawals-No Rebalancing'!O30</f>
        <v>2.23E-2</v>
      </c>
    </row>
    <row r="31" spans="1:16"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9">
        <f>'4% Withdrawals-No Rebalancing'!N31</f>
        <v>2017</v>
      </c>
      <c r="O31" s="50">
        <f>'4% Withdrawals-No Rebalancing'!O31</f>
        <v>2.23E-2</v>
      </c>
    </row>
    <row r="32" spans="1:16"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9">
        <f>'4% Withdrawals-No Rebalancing'!N32</f>
        <v>2017</v>
      </c>
      <c r="O32" s="50">
        <f>'4% Withdrawals-No Rebalancing'!O32</f>
        <v>2.23E-2</v>
      </c>
    </row>
    <row r="33" spans="1:86"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 Withdrawals-No Rebalancing'!N33</f>
        <v>2017</v>
      </c>
      <c r="O33" s="50">
        <f>'4% Withdrawals-No Rebalancing'!O33</f>
        <v>2.23E-2</v>
      </c>
    </row>
    <row r="36" spans="1:86" x14ac:dyDescent="0.25">
      <c r="A36" s="20" t="s">
        <v>121</v>
      </c>
      <c r="N36" s="20" t="s">
        <v>25</v>
      </c>
      <c r="R36" s="20" t="s">
        <v>122</v>
      </c>
      <c r="AG36" s="20" t="s">
        <v>123</v>
      </c>
      <c r="AR36" s="1"/>
      <c r="AS36" s="20" t="s">
        <v>9</v>
      </c>
      <c r="BL36" s="20" t="s">
        <v>7</v>
      </c>
    </row>
    <row r="37" spans="1:86"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R37" s="71"/>
      <c r="AT37" s="4" t="str">
        <f t="shared" ref="AT37:AZ39" si="3">BO37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4"/>
      <c r="BB37" t="s">
        <v>89</v>
      </c>
      <c r="BO37" s="4" t="str">
        <f t="shared" ref="BO37:BU39" si="4">AH37</f>
        <v>LC Stocks</v>
      </c>
      <c r="BP37" s="4" t="str">
        <f t="shared" si="4"/>
        <v>Ext Mkt</v>
      </c>
      <c r="BQ37" s="4" t="str">
        <f t="shared" si="4"/>
        <v>Mcap Stk</v>
      </c>
      <c r="BR37" s="4" t="str">
        <f t="shared" si="4"/>
        <v>Small Cap</v>
      </c>
      <c r="BS37" s="4" t="str">
        <f t="shared" si="4"/>
        <v>Intl Val</v>
      </c>
      <c r="BT37" s="4" t="str">
        <f t="shared" si="4"/>
        <v>Tot Int Stk</v>
      </c>
      <c r="BU37" s="4" t="str">
        <f t="shared" si="4"/>
        <v>Bonds</v>
      </c>
      <c r="BV37" s="5"/>
    </row>
    <row r="38" spans="1:86"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R38" s="71"/>
      <c r="AS38" t="s">
        <v>73</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BV38</f>
        <v>Total</v>
      </c>
      <c r="BB38" t="s">
        <v>88</v>
      </c>
      <c r="BN38" t="str">
        <f t="shared" ref="BN38:BN66" si="5">AG38</f>
        <v>Fund</v>
      </c>
      <c r="BO38" s="4" t="str">
        <f t="shared" si="4"/>
        <v>VFINX</v>
      </c>
      <c r="BP38" s="4" t="str">
        <f t="shared" si="4"/>
        <v>VEXMX</v>
      </c>
      <c r="BQ38" s="4" t="str">
        <f t="shared" si="4"/>
        <v>VIMSX</v>
      </c>
      <c r="BR38" s="4" t="str">
        <f t="shared" si="4"/>
        <v>NAESX</v>
      </c>
      <c r="BS38" s="4" t="str">
        <f t="shared" si="4"/>
        <v>VTRIX</v>
      </c>
      <c r="BT38" s="4" t="str">
        <f t="shared" si="4"/>
        <v>VGTSX</v>
      </c>
      <c r="BU38" s="4" t="str">
        <f t="shared" si="4"/>
        <v>VBMFX</v>
      </c>
      <c r="BV38" s="4" t="str">
        <f>AO38</f>
        <v>Total</v>
      </c>
    </row>
    <row r="39" spans="1:86"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H50" si="6">S39/$Z39</f>
        <v>0.2</v>
      </c>
      <c r="AI39" s="6">
        <f t="shared" ref="AI39:AI50" si="7">T39/$Z39</f>
        <v>0.3</v>
      </c>
      <c r="AJ39" s="23">
        <v>0.2</v>
      </c>
      <c r="AK39" s="23">
        <v>0.1</v>
      </c>
      <c r="AL39" s="6">
        <f t="shared" ref="AL39:AM54" si="8">W39/$Z39</f>
        <v>0.2</v>
      </c>
      <c r="AM39" s="23">
        <v>0.2</v>
      </c>
      <c r="AN39" s="6">
        <f>Y39/$Z39</f>
        <v>0.3</v>
      </c>
      <c r="AO39" s="6">
        <f>Z39/$Z39</f>
        <v>1</v>
      </c>
      <c r="AP39" s="24"/>
      <c r="AS39" s="21" t="str">
        <f>R39</f>
        <v>Stating Balance</v>
      </c>
      <c r="AT39" s="24">
        <f t="shared" si="3"/>
        <v>0.2</v>
      </c>
      <c r="AU39" s="24">
        <f t="shared" si="3"/>
        <v>0.3</v>
      </c>
      <c r="AV39" s="25">
        <f t="shared" si="3"/>
        <v>0.2</v>
      </c>
      <c r="AW39" s="25">
        <f t="shared" si="3"/>
        <v>0.1</v>
      </c>
      <c r="AX39" s="24">
        <f t="shared" si="3"/>
        <v>0.2</v>
      </c>
      <c r="AY39" s="25">
        <f t="shared" si="3"/>
        <v>0.2</v>
      </c>
      <c r="AZ39" s="24">
        <f t="shared" si="3"/>
        <v>0.3</v>
      </c>
      <c r="BA39" s="24">
        <f>BV39</f>
        <v>1</v>
      </c>
      <c r="BB39" s="2"/>
      <c r="BC39" s="2"/>
      <c r="BM39" s="24"/>
      <c r="BN39" s="21" t="str">
        <f t="shared" si="5"/>
        <v>Target Allocation</v>
      </c>
      <c r="BO39" s="24">
        <f t="shared" si="4"/>
        <v>0.2</v>
      </c>
      <c r="BP39" s="24">
        <f t="shared" si="4"/>
        <v>0.3</v>
      </c>
      <c r="BQ39" s="25">
        <f t="shared" si="4"/>
        <v>0.2</v>
      </c>
      <c r="BR39" s="25">
        <f t="shared" si="4"/>
        <v>0.1</v>
      </c>
      <c r="BS39" s="24">
        <f t="shared" si="4"/>
        <v>0.2</v>
      </c>
      <c r="BT39" s="25">
        <f t="shared" si="4"/>
        <v>0.2</v>
      </c>
      <c r="BU39" s="24">
        <f t="shared" si="4"/>
        <v>0.3</v>
      </c>
      <c r="BV39" s="24">
        <f>AO39</f>
        <v>1</v>
      </c>
    </row>
    <row r="40" spans="1:86" x14ac:dyDescent="0.25">
      <c r="A40">
        <f t="shared" ref="A40:A69" si="9">A4</f>
        <v>1993</v>
      </c>
      <c r="B40" s="2">
        <f t="shared" ref="B40:C40" si="10">B39*(1+(B4/100))</f>
        <v>21978</v>
      </c>
      <c r="C40" s="2">
        <f t="shared" si="10"/>
        <v>34347</v>
      </c>
      <c r="D40" s="2"/>
      <c r="E40" s="2"/>
      <c r="F40" s="2">
        <f t="shared" ref="F40" si="11">F39*(1+(F4/100))</f>
        <v>26098.799999999999</v>
      </c>
      <c r="G40" s="2"/>
      <c r="H40" s="2">
        <f t="shared" ref="H40" si="12">H39*(1+(H4/100))</f>
        <v>32904</v>
      </c>
      <c r="I40" s="2">
        <f>SUM(B40:H40)</f>
        <v>115327.8</v>
      </c>
      <c r="J40" s="2">
        <f>I40-I39</f>
        <v>15327.800000000003</v>
      </c>
      <c r="K40" s="6">
        <f>(J40/I39)</f>
        <v>0.15327800000000003</v>
      </c>
      <c r="L40" s="7">
        <f>K40+1</f>
        <v>1.153278</v>
      </c>
      <c r="N40">
        <f>A40</f>
        <v>1993</v>
      </c>
      <c r="O40" s="2">
        <f>I40*0.04</f>
        <v>4613.1120000000001</v>
      </c>
      <c r="P40" s="2"/>
      <c r="Q40" s="2"/>
      <c r="R40">
        <f>A40</f>
        <v>1993</v>
      </c>
      <c r="S40" s="2">
        <f>B40-($O40/4)</f>
        <v>20824.722000000002</v>
      </c>
      <c r="T40" s="2">
        <f>C40-($O40/4)</f>
        <v>33193.722000000002</v>
      </c>
      <c r="U40" s="2"/>
      <c r="V40" s="2"/>
      <c r="W40" s="2">
        <f t="shared" ref="W40:W48" si="13">F40-($O40/4)</f>
        <v>24945.522000000001</v>
      </c>
      <c r="X40" s="2"/>
      <c r="Y40" s="2">
        <f>H40-($O40/4)</f>
        <v>31750.722000000002</v>
      </c>
      <c r="Z40" s="2">
        <f>SUM(S40:Y40)</f>
        <v>110714.68799999999</v>
      </c>
      <c r="AA40" s="2">
        <f>Z40-Z39</f>
        <v>10714.687999999995</v>
      </c>
      <c r="AB40" s="6">
        <f>(AA40/Z39)</f>
        <v>0.10714687999999994</v>
      </c>
      <c r="AC40" s="7">
        <f>AB40+1</f>
        <v>1.1071468799999999</v>
      </c>
      <c r="AD40" s="2">
        <f>Z40-(I40-O40)</f>
        <v>0</v>
      </c>
      <c r="AE40" s="2"/>
      <c r="AG40">
        <f t="shared" ref="AG40:AG64" si="14">A40</f>
        <v>1993</v>
      </c>
      <c r="AH40" s="6">
        <f t="shared" si="6"/>
        <v>0.18809357977868305</v>
      </c>
      <c r="AI40" s="6">
        <f t="shared" si="7"/>
        <v>0.29981317384013223</v>
      </c>
      <c r="AJ40" s="7"/>
      <c r="AK40" s="7"/>
      <c r="AL40" s="6">
        <f t="shared" si="8"/>
        <v>0.22531357357029269</v>
      </c>
      <c r="AM40" s="7"/>
      <c r="AN40" s="6">
        <f t="shared" ref="AN40:AN64" si="15">Y40/$Z40</f>
        <v>0.28677967281089212</v>
      </c>
      <c r="AO40" s="6">
        <f>SUM(AH40:AN40)</f>
        <v>1</v>
      </c>
      <c r="AP40" s="7">
        <f>SUM(AH40:AM40)</f>
        <v>0.71322032718910799</v>
      </c>
      <c r="AQ40" s="7">
        <f>AO40-(AP40+AN40)</f>
        <v>0</v>
      </c>
      <c r="AR40" s="7"/>
      <c r="AS40">
        <f>A40</f>
        <v>1993</v>
      </c>
      <c r="AT40" s="2">
        <f t="shared" ref="AT40:AT50" si="16">S40</f>
        <v>20824.722000000002</v>
      </c>
      <c r="AU40" s="2">
        <f t="shared" ref="AU40:AU50" si="17">T40</f>
        <v>33193.722000000002</v>
      </c>
      <c r="AV40" s="2"/>
      <c r="AW40" s="2"/>
      <c r="AX40" s="2">
        <f t="shared" ref="AX40:AX48" si="18">W40</f>
        <v>24945.522000000001</v>
      </c>
      <c r="AY40" s="2"/>
      <c r="AZ40" s="2">
        <f t="shared" ref="AZ40:AZ53" si="19">Y40</f>
        <v>31750.722000000002</v>
      </c>
      <c r="BA40" s="2">
        <f t="shared" ref="BA40:BA53" si="20">Z40</f>
        <v>110714.68799999999</v>
      </c>
      <c r="BB40" s="2">
        <f t="shared" ref="BB40:BB62" si="21">SUM(AT40:AZ40)-Z40</f>
        <v>0</v>
      </c>
      <c r="BC40" s="2"/>
      <c r="BM40" s="24"/>
      <c r="BN40">
        <f t="shared" si="5"/>
        <v>1993</v>
      </c>
      <c r="BO40" s="1" t="b">
        <f>AND((S40/$Z40)&gt;0.15,(S40/$Z40)&lt;0.25)</f>
        <v>1</v>
      </c>
      <c r="BP40" s="1" t="b">
        <f>AND((T40/$Z40)&gt;0.25,(T40/$Z40)&lt;0.35)</f>
        <v>1</v>
      </c>
      <c r="BS40" s="1" t="b">
        <f t="shared" ref="BS40:BS48" si="22">AND((W40/$Z40)&gt;0.15,(W40/$Z40)&lt;0.25)</f>
        <v>1</v>
      </c>
      <c r="BU40" s="1" t="b">
        <f>AND((Y40/$Z40)&gt;0.25,(Y40/$Z40)&lt;0.35)</f>
        <v>1</v>
      </c>
      <c r="BV40" s="1" t="b">
        <f>AND((Z40/$Z40)&gt;0.999,(Z40/$Z40)&lt;1.01)</f>
        <v>1</v>
      </c>
      <c r="CH40" s="2"/>
    </row>
    <row r="41" spans="1:86" x14ac:dyDescent="0.25">
      <c r="A41">
        <f t="shared" si="9"/>
        <v>1994</v>
      </c>
      <c r="B41" s="2">
        <f t="shared" ref="B41:B50" si="23">AT40*(1+(B5/100))</f>
        <v>21070.453719600002</v>
      </c>
      <c r="C41" s="2">
        <f t="shared" ref="C41:C50" si="24">AU40*(1+(C5/100))</f>
        <v>32608.184743920003</v>
      </c>
      <c r="D41" s="2"/>
      <c r="E41" s="2"/>
      <c r="F41" s="2">
        <f t="shared" ref="F41:F48" si="25">AX40*(1+(F5/100))</f>
        <v>26256.409181100003</v>
      </c>
      <c r="G41" s="2"/>
      <c r="H41" s="2">
        <f t="shared" ref="H41:H64" si="26">AZ40*(1+(H5/100))</f>
        <v>30906.152794800004</v>
      </c>
      <c r="I41" s="2">
        <f>SUM(B41:H41)</f>
        <v>110841.20043942</v>
      </c>
      <c r="J41" s="2">
        <f t="shared" ref="J41:J64" si="27">I41-I40</f>
        <v>-4486.5995605799981</v>
      </c>
      <c r="K41" s="6">
        <f t="shared" ref="K41:K64" si="28">(J41/I40)</f>
        <v>-3.8903018704770212E-2</v>
      </c>
      <c r="L41" s="7">
        <f t="shared" ref="L41:L64" si="29">K41+1</f>
        <v>0.9610969812952298</v>
      </c>
      <c r="N41">
        <f t="shared" ref="N41:N64" si="30">A41</f>
        <v>1994</v>
      </c>
      <c r="O41" s="2">
        <f t="shared" ref="O41:O69" si="31">O40*(1+O5)</f>
        <v>4742.2791360000001</v>
      </c>
      <c r="P41" s="2"/>
      <c r="Q41" s="2"/>
      <c r="R41">
        <f t="shared" ref="R41:R64" si="32">A41</f>
        <v>1994</v>
      </c>
      <c r="S41" s="2">
        <f>B41-($O41/4)</f>
        <v>19884.883935600003</v>
      </c>
      <c r="T41" s="2">
        <f>C41-($O41/4)</f>
        <v>31422.614959920003</v>
      </c>
      <c r="U41" s="2"/>
      <c r="V41" s="2"/>
      <c r="W41" s="2">
        <f t="shared" ref="W41" si="33">F41-($O41/4)</f>
        <v>25070.839397100004</v>
      </c>
      <c r="X41" s="2"/>
      <c r="Y41" s="2">
        <f>H41-($O41/4)</f>
        <v>29720.583010800005</v>
      </c>
      <c r="Z41" s="2">
        <f>SUM(S41:Y41)</f>
        <v>106098.92130342002</v>
      </c>
      <c r="AA41" s="2">
        <f t="shared" ref="AA41:AA55" si="34">Z41-Z40</f>
        <v>-4615.7666965799726</v>
      </c>
      <c r="AB41" s="6">
        <f t="shared" ref="AB41:AB55" si="35">(AA41/Z40)</f>
        <v>-4.1690644484135411E-2</v>
      </c>
      <c r="AC41" s="7">
        <f t="shared" ref="AC41:AC64" si="36">AB41+1</f>
        <v>0.9583093555158646</v>
      </c>
      <c r="AD41" s="2">
        <f>Z41-(I41-O41)</f>
        <v>0</v>
      </c>
      <c r="AE41" s="2"/>
      <c r="AG41">
        <f t="shared" si="14"/>
        <v>1994</v>
      </c>
      <c r="AH41" s="6">
        <f t="shared" si="6"/>
        <v>0.18741834215951664</v>
      </c>
      <c r="AI41" s="6">
        <f t="shared" si="7"/>
        <v>0.29616337823132155</v>
      </c>
      <c r="AJ41" s="7"/>
      <c r="AK41" s="7"/>
      <c r="AL41" s="6">
        <f t="shared" si="8"/>
        <v>0.23629683590658582</v>
      </c>
      <c r="AM41" s="7"/>
      <c r="AN41" s="6">
        <f t="shared" si="15"/>
        <v>0.28012144370257591</v>
      </c>
      <c r="AO41" s="6">
        <f t="shared" ref="AO41:AO64" si="37">SUM(AH41:AN41)</f>
        <v>1</v>
      </c>
      <c r="AP41" s="7">
        <f t="shared" ref="AP41:AP64" si="38">SUM(AH41:AM41)</f>
        <v>0.71987855629742403</v>
      </c>
      <c r="AQ41" s="7">
        <f t="shared" ref="AQ41:AQ64" si="39">AO41-(AP41+AN41)</f>
        <v>0</v>
      </c>
      <c r="AR41" s="7"/>
      <c r="AS41">
        <f t="shared" ref="AS41:AS66" si="40">A41</f>
        <v>1994</v>
      </c>
      <c r="AT41" s="2">
        <f t="shared" si="16"/>
        <v>19884.883935600003</v>
      </c>
      <c r="AU41" s="2">
        <f t="shared" si="17"/>
        <v>31422.614959920003</v>
      </c>
      <c r="AV41" s="2"/>
      <c r="AW41" s="2"/>
      <c r="AX41" s="2">
        <f t="shared" si="18"/>
        <v>25070.839397100004</v>
      </c>
      <c r="AY41" s="2"/>
      <c r="AZ41" s="2">
        <f t="shared" si="19"/>
        <v>29720.583010800005</v>
      </c>
      <c r="BA41" s="2">
        <f t="shared" si="20"/>
        <v>106098.92130342002</v>
      </c>
      <c r="BB41" s="2">
        <f t="shared" si="21"/>
        <v>0</v>
      </c>
      <c r="BC41" s="2"/>
      <c r="BM41" s="24"/>
      <c r="BN41">
        <f t="shared" si="5"/>
        <v>1994</v>
      </c>
      <c r="BO41" s="1" t="b">
        <f t="shared" ref="BO41:BO66" si="41">AND((S41/$Z41)&gt;0.15,(S41/$Z41)&lt;0.25)</f>
        <v>1</v>
      </c>
      <c r="BP41" s="1" t="b">
        <f t="shared" ref="BP41:BP50" si="42">AND((T41/$Z41)&gt;0.25,(T41/$Z41)&lt;0.35)</f>
        <v>1</v>
      </c>
      <c r="BS41" s="1" t="b">
        <f t="shared" si="22"/>
        <v>1</v>
      </c>
      <c r="BU41" s="1" t="b">
        <f t="shared" ref="BU41:BU66" si="43">AND((Y41/$Z41)&gt;0.25,(Y41/$Z41)&lt;0.35)</f>
        <v>1</v>
      </c>
      <c r="BV41" s="1" t="b">
        <f t="shared" ref="BV41:BV66" si="44">AND((Z41/$Z41)&gt;0.999,(Z41/$Z41)&lt;1.01)</f>
        <v>1</v>
      </c>
      <c r="CH41" s="2"/>
    </row>
    <row r="42" spans="1:86" x14ac:dyDescent="0.25">
      <c r="A42">
        <f t="shared" si="9"/>
        <v>1995</v>
      </c>
      <c r="B42" s="2">
        <f t="shared" si="23"/>
        <v>27331.772969482205</v>
      </c>
      <c r="C42" s="2">
        <f t="shared" si="24"/>
        <v>42042.516137924162</v>
      </c>
      <c r="D42" s="2"/>
      <c r="E42" s="2"/>
      <c r="F42" s="2">
        <f t="shared" si="25"/>
        <v>27489.17256534427</v>
      </c>
      <c r="G42" s="2"/>
      <c r="H42" s="2">
        <f t="shared" si="26"/>
        <v>35123.785002163444</v>
      </c>
      <c r="I42" s="2">
        <f t="shared" ref="I42:I64" si="45">SUM(B42:H42)</f>
        <v>131987.24667491409</v>
      </c>
      <c r="J42" s="2">
        <f t="shared" si="27"/>
        <v>21146.046235494083</v>
      </c>
      <c r="K42" s="6">
        <f t="shared" si="28"/>
        <v>0.1907778529252884</v>
      </c>
      <c r="L42" s="7">
        <f t="shared" si="29"/>
        <v>1.1907778529252884</v>
      </c>
      <c r="N42">
        <f t="shared" si="30"/>
        <v>1995</v>
      </c>
      <c r="O42" s="2">
        <f t="shared" si="31"/>
        <v>4865.5783935360005</v>
      </c>
      <c r="P42" s="2"/>
      <c r="Q42" s="2"/>
      <c r="R42">
        <f t="shared" si="32"/>
        <v>1995</v>
      </c>
      <c r="S42" s="2">
        <f t="shared" ref="S42:T49" si="46">B42-($O42/4)</f>
        <v>26115.378371098206</v>
      </c>
      <c r="T42" s="2">
        <f t="shared" si="46"/>
        <v>40826.12153954016</v>
      </c>
      <c r="U42" s="2"/>
      <c r="V42" s="2"/>
      <c r="W42" s="2">
        <f t="shared" si="13"/>
        <v>26272.777966960271</v>
      </c>
      <c r="X42" s="2"/>
      <c r="Y42" s="2">
        <f t="shared" ref="Y42:Y49" si="47">H42-($O42/4)</f>
        <v>33907.390403779442</v>
      </c>
      <c r="Z42" s="2">
        <f t="shared" ref="Z42:Z64" si="48">SUM(S42:Y42)</f>
        <v>127121.66828137808</v>
      </c>
      <c r="AA42" s="2">
        <f t="shared" si="34"/>
        <v>21022.746977958057</v>
      </c>
      <c r="AB42" s="6">
        <f t="shared" si="35"/>
        <v>0.19814289080128852</v>
      </c>
      <c r="AC42" s="7">
        <f t="shared" si="36"/>
        <v>1.1981428908012886</v>
      </c>
      <c r="AD42" s="2">
        <f t="shared" ref="AD42:AD64" si="49">Z42-(I42-O42)</f>
        <v>0</v>
      </c>
      <c r="AE42" s="2"/>
      <c r="AG42">
        <f t="shared" si="14"/>
        <v>1995</v>
      </c>
      <c r="AH42" s="6">
        <f t="shared" si="6"/>
        <v>0.20543608909610117</v>
      </c>
      <c r="AI42" s="6">
        <f t="shared" si="7"/>
        <v>0.32115784894494448</v>
      </c>
      <c r="AJ42" s="7"/>
      <c r="AK42" s="7"/>
      <c r="AL42" s="6">
        <f t="shared" si="8"/>
        <v>0.20667426979330275</v>
      </c>
      <c r="AM42" s="7"/>
      <c r="AN42" s="6">
        <f t="shared" si="15"/>
        <v>0.26673179216565157</v>
      </c>
      <c r="AO42" s="6">
        <f t="shared" si="37"/>
        <v>0.99999999999999989</v>
      </c>
      <c r="AP42" s="7">
        <f t="shared" si="38"/>
        <v>0.73326820783434832</v>
      </c>
      <c r="AQ42" s="7">
        <f t="shared" si="39"/>
        <v>0</v>
      </c>
      <c r="AR42" s="7"/>
      <c r="AS42">
        <f t="shared" si="40"/>
        <v>1995</v>
      </c>
      <c r="AT42" s="2">
        <f t="shared" si="16"/>
        <v>26115.378371098206</v>
      </c>
      <c r="AU42" s="2">
        <f t="shared" si="17"/>
        <v>40826.12153954016</v>
      </c>
      <c r="AV42" s="2"/>
      <c r="AW42" s="2"/>
      <c r="AX42" s="2">
        <f t="shared" si="18"/>
        <v>26272.777966960271</v>
      </c>
      <c r="AY42" s="2"/>
      <c r="AZ42" s="2">
        <f t="shared" si="19"/>
        <v>33907.390403779442</v>
      </c>
      <c r="BA42" s="2">
        <f t="shared" si="20"/>
        <v>127121.66828137808</v>
      </c>
      <c r="BB42" s="2">
        <f t="shared" si="21"/>
        <v>0</v>
      </c>
      <c r="BC42" s="2"/>
      <c r="BM42" s="24"/>
      <c r="BN42">
        <f t="shared" si="5"/>
        <v>1995</v>
      </c>
      <c r="BO42" s="1" t="b">
        <f t="shared" si="41"/>
        <v>1</v>
      </c>
      <c r="BP42" s="1" t="b">
        <f t="shared" si="42"/>
        <v>1</v>
      </c>
      <c r="BS42" s="1" t="b">
        <f t="shared" si="22"/>
        <v>1</v>
      </c>
      <c r="BU42" s="1" t="b">
        <f t="shared" si="43"/>
        <v>1</v>
      </c>
      <c r="BV42" s="1" t="b">
        <f t="shared" si="44"/>
        <v>1</v>
      </c>
      <c r="CH42" s="2"/>
    </row>
    <row r="43" spans="1:86" x14ac:dyDescent="0.25">
      <c r="A43">
        <f t="shared" si="9"/>
        <v>1996</v>
      </c>
      <c r="B43" s="2">
        <f t="shared" si="23"/>
        <v>32090.576942405478</v>
      </c>
      <c r="C43" s="2">
        <f t="shared" si="24"/>
        <v>48030.707207622807</v>
      </c>
      <c r="D43" s="2"/>
      <c r="E43" s="2"/>
      <c r="F43" s="2">
        <f t="shared" si="25"/>
        <v>28957.593147403943</v>
      </c>
      <c r="G43" s="2"/>
      <c r="H43" s="2">
        <f t="shared" si="26"/>
        <v>35121.274980234746</v>
      </c>
      <c r="I43" s="2">
        <f t="shared" si="45"/>
        <v>144200.15227766696</v>
      </c>
      <c r="J43" s="2">
        <f t="shared" si="27"/>
        <v>12212.905602752871</v>
      </c>
      <c r="K43" s="6">
        <f t="shared" si="28"/>
        <v>9.2530952121710516E-2</v>
      </c>
      <c r="L43" s="7">
        <f t="shared" si="29"/>
        <v>1.0925309521217106</v>
      </c>
      <c r="N43">
        <f t="shared" si="30"/>
        <v>1996</v>
      </c>
      <c r="O43" s="2">
        <f t="shared" si="31"/>
        <v>4987.2178533744</v>
      </c>
      <c r="P43" s="2"/>
      <c r="Q43" s="2"/>
      <c r="R43">
        <f t="shared" si="32"/>
        <v>1996</v>
      </c>
      <c r="S43" s="2">
        <f t="shared" si="46"/>
        <v>30843.772479061878</v>
      </c>
      <c r="T43" s="2">
        <f t="shared" si="46"/>
        <v>46783.902744279207</v>
      </c>
      <c r="U43" s="2"/>
      <c r="V43" s="2"/>
      <c r="W43" s="2">
        <f t="shared" si="13"/>
        <v>27710.788684060342</v>
      </c>
      <c r="X43" s="2"/>
      <c r="Y43" s="2">
        <f t="shared" si="47"/>
        <v>33874.470516891146</v>
      </c>
      <c r="Z43" s="2">
        <f t="shared" si="48"/>
        <v>139212.93442429259</v>
      </c>
      <c r="AA43" s="2">
        <f t="shared" si="34"/>
        <v>12091.266142914508</v>
      </c>
      <c r="AB43" s="6">
        <f t="shared" si="35"/>
        <v>9.5115697476145733E-2</v>
      </c>
      <c r="AC43" s="7">
        <f t="shared" si="36"/>
        <v>1.0951156974761458</v>
      </c>
      <c r="AD43" s="2">
        <f t="shared" si="49"/>
        <v>0</v>
      </c>
      <c r="AE43" s="2"/>
      <c r="AG43">
        <f t="shared" si="14"/>
        <v>1996</v>
      </c>
      <c r="AH43" s="6">
        <f t="shared" si="6"/>
        <v>0.22155823815232828</v>
      </c>
      <c r="AI43" s="6">
        <f t="shared" si="7"/>
        <v>0.33606002874482499</v>
      </c>
      <c r="AJ43" s="7"/>
      <c r="AK43" s="7"/>
      <c r="AL43" s="6">
        <f t="shared" si="8"/>
        <v>0.19905326181548275</v>
      </c>
      <c r="AM43" s="7"/>
      <c r="AN43" s="6">
        <f t="shared" si="15"/>
        <v>0.24332847128736385</v>
      </c>
      <c r="AO43" s="6">
        <f t="shared" si="37"/>
        <v>0.99999999999999978</v>
      </c>
      <c r="AP43" s="7">
        <f t="shared" si="38"/>
        <v>0.75667152871263599</v>
      </c>
      <c r="AQ43" s="7">
        <f t="shared" si="39"/>
        <v>0</v>
      </c>
      <c r="AR43" s="7"/>
      <c r="AS43">
        <f t="shared" si="40"/>
        <v>1996</v>
      </c>
      <c r="AT43" s="2">
        <f t="shared" si="16"/>
        <v>30843.772479061878</v>
      </c>
      <c r="AU43" s="2">
        <f t="shared" si="17"/>
        <v>46783.902744279207</v>
      </c>
      <c r="AV43" s="2"/>
      <c r="AW43" s="2"/>
      <c r="AX43" s="2">
        <f t="shared" si="18"/>
        <v>27710.788684060342</v>
      </c>
      <c r="AY43" s="2"/>
      <c r="AZ43" s="2">
        <f t="shared" si="19"/>
        <v>33874.470516891146</v>
      </c>
      <c r="BA43" s="2">
        <f t="shared" si="20"/>
        <v>139212.93442429259</v>
      </c>
      <c r="BB43" s="2">
        <f t="shared" si="21"/>
        <v>0</v>
      </c>
      <c r="BC43" s="2"/>
      <c r="BM43" s="24"/>
      <c r="BN43">
        <f t="shared" si="5"/>
        <v>1996</v>
      </c>
      <c r="BO43" s="1" t="b">
        <f t="shared" si="41"/>
        <v>1</v>
      </c>
      <c r="BP43" s="1" t="b">
        <f t="shared" si="42"/>
        <v>1</v>
      </c>
      <c r="BS43" s="1" t="b">
        <f t="shared" si="22"/>
        <v>1</v>
      </c>
      <c r="BU43" s="1" t="b">
        <f t="shared" si="43"/>
        <v>0</v>
      </c>
      <c r="BV43" s="1" t="b">
        <f t="shared" si="44"/>
        <v>1</v>
      </c>
      <c r="CH43" s="2"/>
    </row>
    <row r="44" spans="1:86" x14ac:dyDescent="0.25">
      <c r="A44">
        <f t="shared" si="9"/>
        <v>1997</v>
      </c>
      <c r="B44" s="2">
        <f t="shared" si="23"/>
        <v>41080.820564862515</v>
      </c>
      <c r="C44" s="2">
        <f t="shared" si="24"/>
        <v>59269.122869644998</v>
      </c>
      <c r="D44" s="2"/>
      <c r="E44" s="2"/>
      <c r="F44" s="2">
        <f t="shared" si="25"/>
        <v>27710.788684060342</v>
      </c>
      <c r="G44" s="2"/>
      <c r="H44" s="2">
        <f t="shared" si="26"/>
        <v>37072.220533685671</v>
      </c>
      <c r="I44" s="2">
        <f t="shared" si="45"/>
        <v>165132.95265225353</v>
      </c>
      <c r="J44" s="2">
        <f t="shared" si="27"/>
        <v>20932.800374586572</v>
      </c>
      <c r="K44" s="6">
        <f t="shared" si="28"/>
        <v>0.14516489784476147</v>
      </c>
      <c r="L44" s="7">
        <f t="shared" si="29"/>
        <v>1.1451648978447615</v>
      </c>
      <c r="N44">
        <f t="shared" si="30"/>
        <v>1997</v>
      </c>
      <c r="O44" s="2">
        <f t="shared" si="31"/>
        <v>5156.7832603891293</v>
      </c>
      <c r="P44" s="2"/>
      <c r="Q44" s="2"/>
      <c r="R44">
        <f t="shared" si="32"/>
        <v>1997</v>
      </c>
      <c r="S44" s="2">
        <f t="shared" si="46"/>
        <v>39791.624749765237</v>
      </c>
      <c r="T44" s="2">
        <f t="shared" si="46"/>
        <v>57979.927054547719</v>
      </c>
      <c r="U44" s="2"/>
      <c r="V44" s="2"/>
      <c r="W44" s="2">
        <f t="shared" si="13"/>
        <v>26421.59286896306</v>
      </c>
      <c r="X44" s="2"/>
      <c r="Y44" s="2">
        <f t="shared" si="47"/>
        <v>35783.024718588393</v>
      </c>
      <c r="Z44" s="2">
        <f t="shared" si="48"/>
        <v>159976.16939186442</v>
      </c>
      <c r="AA44" s="2">
        <f t="shared" si="34"/>
        <v>20763.234967571829</v>
      </c>
      <c r="AB44" s="6">
        <f t="shared" si="35"/>
        <v>0.14914731201836268</v>
      </c>
      <c r="AC44" s="7">
        <f t="shared" si="36"/>
        <v>1.1491473120183626</v>
      </c>
      <c r="AD44" s="2">
        <f t="shared" si="49"/>
        <v>0</v>
      </c>
      <c r="AE44" s="2"/>
      <c r="AG44">
        <f t="shared" si="14"/>
        <v>1997</v>
      </c>
      <c r="AH44" s="59">
        <f t="shared" si="6"/>
        <v>0.24873470155604838</v>
      </c>
      <c r="AI44" s="59">
        <f t="shared" si="7"/>
        <v>0.36242852466685133</v>
      </c>
      <c r="AJ44" s="60"/>
      <c r="AK44" s="60"/>
      <c r="AL44" s="59">
        <f t="shared" si="8"/>
        <v>0.16515955450991521</v>
      </c>
      <c r="AM44" s="60"/>
      <c r="AN44" s="59">
        <f t="shared" si="15"/>
        <v>0.22367721926718503</v>
      </c>
      <c r="AO44" s="6">
        <f t="shared" si="37"/>
        <v>0.99999999999999978</v>
      </c>
      <c r="AP44" s="7">
        <f t="shared" si="38"/>
        <v>0.7763227807328148</v>
      </c>
      <c r="AQ44" s="7">
        <f t="shared" si="39"/>
        <v>0</v>
      </c>
      <c r="AR44" s="7"/>
      <c r="AS44">
        <f t="shared" si="40"/>
        <v>1997</v>
      </c>
      <c r="AT44" s="2">
        <f t="shared" si="16"/>
        <v>39791.624749765237</v>
      </c>
      <c r="AU44" s="2">
        <f t="shared" si="17"/>
        <v>57979.927054547719</v>
      </c>
      <c r="AV44" s="2"/>
      <c r="AW44" s="2"/>
      <c r="AX44" s="2">
        <f t="shared" si="18"/>
        <v>26421.59286896306</v>
      </c>
      <c r="AY44" s="2"/>
      <c r="AZ44" s="2">
        <f t="shared" si="19"/>
        <v>35783.024718588393</v>
      </c>
      <c r="BA44" s="2">
        <f t="shared" si="20"/>
        <v>159976.16939186442</v>
      </c>
      <c r="BB44" s="2">
        <f t="shared" si="21"/>
        <v>0</v>
      </c>
      <c r="BC44" s="2"/>
      <c r="BM44" s="24"/>
      <c r="BN44">
        <f t="shared" si="5"/>
        <v>1997</v>
      </c>
      <c r="BO44" s="1" t="b">
        <f t="shared" si="41"/>
        <v>1</v>
      </c>
      <c r="BP44" s="28" t="b">
        <f t="shared" si="42"/>
        <v>0</v>
      </c>
      <c r="BS44" s="28" t="b">
        <f t="shared" si="22"/>
        <v>1</v>
      </c>
      <c r="BU44" s="1" t="b">
        <f t="shared" si="43"/>
        <v>0</v>
      </c>
      <c r="BV44" s="1" t="b">
        <f t="shared" si="44"/>
        <v>1</v>
      </c>
      <c r="CH44" s="2"/>
    </row>
    <row r="45" spans="1:86" x14ac:dyDescent="0.25">
      <c r="A45">
        <f t="shared" si="9"/>
        <v>1998</v>
      </c>
      <c r="B45" s="2">
        <f t="shared" si="23"/>
        <v>51195.904403047949</v>
      </c>
      <c r="C45" s="2">
        <f t="shared" si="24"/>
        <v>62822.990361414093</v>
      </c>
      <c r="D45" s="2"/>
      <c r="E45" s="2"/>
      <c r="F45" s="2">
        <f t="shared" si="25"/>
        <v>26421.59286896306</v>
      </c>
      <c r="G45" s="2"/>
      <c r="H45" s="2">
        <f t="shared" si="26"/>
        <v>38853.20823944328</v>
      </c>
      <c r="I45" s="2">
        <f t="shared" si="45"/>
        <v>179293.69587286838</v>
      </c>
      <c r="J45" s="2">
        <f t="shared" si="27"/>
        <v>14160.743220614851</v>
      </c>
      <c r="K45" s="6">
        <f t="shared" si="28"/>
        <v>8.5753588203775169E-2</v>
      </c>
      <c r="L45" s="7">
        <f t="shared" si="29"/>
        <v>1.0857535882037752</v>
      </c>
      <c r="N45">
        <f t="shared" si="30"/>
        <v>1998</v>
      </c>
      <c r="O45" s="2">
        <f t="shared" si="31"/>
        <v>5244.4485758157443</v>
      </c>
      <c r="P45" s="2"/>
      <c r="Q45" s="2"/>
      <c r="R45">
        <f t="shared" si="32"/>
        <v>1998</v>
      </c>
      <c r="S45" s="2">
        <f t="shared" si="46"/>
        <v>49884.792259094014</v>
      </c>
      <c r="T45" s="2">
        <f t="shared" si="46"/>
        <v>61511.878217460158</v>
      </c>
      <c r="U45" s="2"/>
      <c r="V45" s="2"/>
      <c r="W45" s="2">
        <f t="shared" si="13"/>
        <v>25110.480725009125</v>
      </c>
      <c r="X45" s="2"/>
      <c r="Y45" s="2">
        <f t="shared" si="47"/>
        <v>37542.096095489345</v>
      </c>
      <c r="Z45" s="2">
        <f t="shared" si="48"/>
        <v>174049.24729705264</v>
      </c>
      <c r="AA45" s="2">
        <f t="shared" si="34"/>
        <v>14073.077905188227</v>
      </c>
      <c r="AB45" s="6">
        <f t="shared" si="35"/>
        <v>8.7969839249719614E-2</v>
      </c>
      <c r="AC45" s="7">
        <f t="shared" si="36"/>
        <v>1.0879698392497197</v>
      </c>
      <c r="AD45" s="2">
        <f t="shared" si="49"/>
        <v>0</v>
      </c>
      <c r="AE45" s="2"/>
      <c r="AG45">
        <f t="shared" si="14"/>
        <v>1998</v>
      </c>
      <c r="AH45" s="59">
        <f t="shared" si="6"/>
        <v>0.28661308815633563</v>
      </c>
      <c r="AI45" s="59">
        <f t="shared" si="7"/>
        <v>0.35341651384723799</v>
      </c>
      <c r="AJ45" s="60"/>
      <c r="AK45" s="60"/>
      <c r="AL45" s="59">
        <f t="shared" si="8"/>
        <v>0.14427227416934854</v>
      </c>
      <c r="AM45" s="60"/>
      <c r="AN45" s="59">
        <f t="shared" si="15"/>
        <v>0.21569812382707779</v>
      </c>
      <c r="AO45" s="6">
        <f t="shared" si="37"/>
        <v>0.99999999999999989</v>
      </c>
      <c r="AP45" s="7">
        <f t="shared" si="38"/>
        <v>0.78430187617292213</v>
      </c>
      <c r="AQ45" s="7">
        <f t="shared" si="39"/>
        <v>0</v>
      </c>
      <c r="AR45" s="7"/>
      <c r="AS45">
        <f t="shared" si="40"/>
        <v>1998</v>
      </c>
      <c r="AT45" s="2">
        <f t="shared" si="16"/>
        <v>49884.792259094014</v>
      </c>
      <c r="AU45" s="2">
        <f t="shared" si="17"/>
        <v>61511.878217460158</v>
      </c>
      <c r="AV45" s="2"/>
      <c r="AW45" s="2"/>
      <c r="AX45" s="2">
        <f t="shared" si="18"/>
        <v>25110.480725009125</v>
      </c>
      <c r="AY45" s="2"/>
      <c r="AZ45" s="2">
        <f t="shared" si="19"/>
        <v>37542.096095489345</v>
      </c>
      <c r="BA45" s="2">
        <f t="shared" si="20"/>
        <v>174049.24729705264</v>
      </c>
      <c r="BB45" s="2">
        <f t="shared" si="21"/>
        <v>0</v>
      </c>
      <c r="BC45" s="2"/>
      <c r="BM45" s="24"/>
      <c r="BN45">
        <f t="shared" si="5"/>
        <v>1998</v>
      </c>
      <c r="BO45" s="1" t="b">
        <f t="shared" si="41"/>
        <v>0</v>
      </c>
      <c r="BP45" s="1" t="b">
        <f t="shared" si="42"/>
        <v>0</v>
      </c>
      <c r="BS45" s="1" t="b">
        <f t="shared" si="22"/>
        <v>0</v>
      </c>
      <c r="BU45" s="1" t="b">
        <f t="shared" si="43"/>
        <v>0</v>
      </c>
      <c r="BV45" s="1" t="b">
        <f t="shared" si="44"/>
        <v>1</v>
      </c>
      <c r="CH45" s="2"/>
    </row>
    <row r="46" spans="1:86" x14ac:dyDescent="0.25">
      <c r="A46">
        <f t="shared" si="9"/>
        <v>1999</v>
      </c>
      <c r="B46" s="2">
        <f t="shared" si="23"/>
        <v>60395.517988085128</v>
      </c>
      <c r="C46" s="2">
        <f t="shared" si="24"/>
        <v>61511.878217460158</v>
      </c>
      <c r="D46" s="2"/>
      <c r="E46" s="2"/>
      <c r="F46" s="2">
        <f t="shared" si="25"/>
        <v>25110.480725009125</v>
      </c>
      <c r="G46" s="2"/>
      <c r="H46" s="2">
        <f t="shared" si="26"/>
        <v>37256.776165163625</v>
      </c>
      <c r="I46" s="2">
        <f t="shared" si="45"/>
        <v>184274.65309571801</v>
      </c>
      <c r="J46" s="2">
        <f t="shared" si="27"/>
        <v>4980.9572228496254</v>
      </c>
      <c r="K46" s="6">
        <f t="shared" si="28"/>
        <v>2.7780994744965648E-2</v>
      </c>
      <c r="L46" s="7">
        <f t="shared" si="29"/>
        <v>1.0277809947449656</v>
      </c>
      <c r="N46">
        <f t="shared" si="30"/>
        <v>1999</v>
      </c>
      <c r="O46" s="2">
        <f t="shared" si="31"/>
        <v>5328.3597530287961</v>
      </c>
      <c r="P46" s="2"/>
      <c r="Q46" s="2"/>
      <c r="R46">
        <f t="shared" si="32"/>
        <v>1999</v>
      </c>
      <c r="S46" s="2">
        <f t="shared" si="46"/>
        <v>59063.428049827926</v>
      </c>
      <c r="T46" s="2">
        <f t="shared" si="46"/>
        <v>60179.788279202956</v>
      </c>
      <c r="U46" s="2"/>
      <c r="V46" s="2"/>
      <c r="W46" s="2">
        <f t="shared" si="13"/>
        <v>23778.390786751926</v>
      </c>
      <c r="X46" s="2"/>
      <c r="Y46" s="2">
        <f t="shared" si="47"/>
        <v>35924.686226906422</v>
      </c>
      <c r="Z46" s="2">
        <f t="shared" si="48"/>
        <v>178946.29334268923</v>
      </c>
      <c r="AA46" s="2">
        <f t="shared" si="34"/>
        <v>4897.0460456365836</v>
      </c>
      <c r="AB46" s="6">
        <f t="shared" si="35"/>
        <v>2.8135979452290974E-2</v>
      </c>
      <c r="AC46" s="7">
        <f t="shared" si="36"/>
        <v>1.0281359794522911</v>
      </c>
      <c r="AD46" s="2">
        <f t="shared" si="49"/>
        <v>0</v>
      </c>
      <c r="AE46" s="2"/>
      <c r="AG46">
        <f t="shared" si="14"/>
        <v>1999</v>
      </c>
      <c r="AH46" s="6">
        <f t="shared" si="6"/>
        <v>0.33006231616499104</v>
      </c>
      <c r="AI46" s="6">
        <f t="shared" si="7"/>
        <v>0.33630083727946397</v>
      </c>
      <c r="AJ46" s="7"/>
      <c r="AK46" s="7"/>
      <c r="AL46" s="6">
        <f t="shared" si="8"/>
        <v>0.13288004094734374</v>
      </c>
      <c r="AM46" s="7"/>
      <c r="AN46" s="6">
        <f t="shared" si="15"/>
        <v>0.20075680560820128</v>
      </c>
      <c r="AO46" s="6">
        <f t="shared" si="37"/>
        <v>1</v>
      </c>
      <c r="AP46" s="7">
        <f t="shared" si="38"/>
        <v>0.79924319439179869</v>
      </c>
      <c r="AQ46" s="7">
        <f t="shared" si="39"/>
        <v>0</v>
      </c>
      <c r="AR46" s="7"/>
      <c r="AS46">
        <f t="shared" si="40"/>
        <v>1999</v>
      </c>
      <c r="AT46" s="2">
        <f t="shared" si="16"/>
        <v>59063.428049827926</v>
      </c>
      <c r="AU46" s="2">
        <f t="shared" si="17"/>
        <v>60179.788279202956</v>
      </c>
      <c r="AV46" s="2"/>
      <c r="AW46" s="2"/>
      <c r="AX46" s="2">
        <f t="shared" si="18"/>
        <v>23778.390786751926</v>
      </c>
      <c r="AY46" s="2"/>
      <c r="AZ46" s="2">
        <f t="shared" si="19"/>
        <v>35924.686226906422</v>
      </c>
      <c r="BA46" s="2">
        <f t="shared" si="20"/>
        <v>178946.29334268923</v>
      </c>
      <c r="BB46" s="2">
        <f t="shared" si="21"/>
        <v>0</v>
      </c>
      <c r="BC46" s="2"/>
      <c r="BM46" s="24"/>
      <c r="BN46">
        <f t="shared" si="5"/>
        <v>1999</v>
      </c>
      <c r="BO46" s="1" t="b">
        <f t="shared" si="41"/>
        <v>0</v>
      </c>
      <c r="BP46" s="1" t="b">
        <f t="shared" si="42"/>
        <v>1</v>
      </c>
      <c r="BS46" s="1" t="b">
        <f t="shared" si="22"/>
        <v>0</v>
      </c>
      <c r="BU46" s="1" t="b">
        <f t="shared" si="43"/>
        <v>0</v>
      </c>
      <c r="BV46" s="1" t="b">
        <f t="shared" si="44"/>
        <v>1</v>
      </c>
      <c r="CH46" s="2"/>
    </row>
    <row r="47" spans="1:86" x14ac:dyDescent="0.25">
      <c r="A47">
        <f t="shared" si="9"/>
        <v>2000</v>
      </c>
      <c r="B47" s="2">
        <f t="shared" si="23"/>
        <v>53712.281468513516</v>
      </c>
      <c r="C47" s="2">
        <f t="shared" si="24"/>
        <v>60179.788279202956</v>
      </c>
      <c r="D47" s="2"/>
      <c r="E47" s="2"/>
      <c r="F47" s="2">
        <f t="shared" si="25"/>
        <v>23778.390786751926</v>
      </c>
      <c r="G47" s="2"/>
      <c r="H47" s="2">
        <f t="shared" si="26"/>
        <v>40016.507988151068</v>
      </c>
      <c r="I47" s="2">
        <f t="shared" si="45"/>
        <v>177686.96852261949</v>
      </c>
      <c r="J47" s="2">
        <f t="shared" si="27"/>
        <v>-6587.6845730985224</v>
      </c>
      <c r="K47" s="6">
        <f t="shared" si="28"/>
        <v>-3.5749271331834628E-2</v>
      </c>
      <c r="L47" s="7">
        <f t="shared" si="29"/>
        <v>0.96425072866816541</v>
      </c>
      <c r="N47">
        <f t="shared" si="30"/>
        <v>2000</v>
      </c>
      <c r="O47" s="2">
        <f t="shared" si="31"/>
        <v>5472.2254663605736</v>
      </c>
      <c r="P47" s="2"/>
      <c r="Q47" s="2"/>
      <c r="R47">
        <f t="shared" si="32"/>
        <v>2000</v>
      </c>
      <c r="S47" s="2">
        <f t="shared" si="46"/>
        <v>52344.225101923374</v>
      </c>
      <c r="T47" s="2">
        <f t="shared" si="46"/>
        <v>58811.731912612813</v>
      </c>
      <c r="U47" s="2"/>
      <c r="V47" s="2"/>
      <c r="W47" s="2">
        <f t="shared" si="13"/>
        <v>22410.334420161784</v>
      </c>
      <c r="X47" s="2"/>
      <c r="Y47" s="2">
        <f t="shared" si="47"/>
        <v>38648.451621560926</v>
      </c>
      <c r="Z47" s="2">
        <f t="shared" si="48"/>
        <v>172214.74305625891</v>
      </c>
      <c r="AA47" s="2">
        <f t="shared" si="34"/>
        <v>-6731.5502864303126</v>
      </c>
      <c r="AB47" s="6">
        <f t="shared" si="35"/>
        <v>-3.7617712894109118E-2</v>
      </c>
      <c r="AC47" s="7">
        <f t="shared" si="36"/>
        <v>0.96238228710589091</v>
      </c>
      <c r="AD47" s="2">
        <f t="shared" si="49"/>
        <v>0</v>
      </c>
      <c r="AE47" s="2"/>
      <c r="AG47">
        <f t="shared" si="14"/>
        <v>2000</v>
      </c>
      <c r="AH47" s="6">
        <f t="shared" si="6"/>
        <v>0.30394740991962355</v>
      </c>
      <c r="AI47" s="6">
        <f t="shared" si="7"/>
        <v>0.34150230618408939</v>
      </c>
      <c r="AJ47" s="7"/>
      <c r="AK47" s="7"/>
      <c r="AL47" s="6">
        <f t="shared" si="8"/>
        <v>0.13013017365673973</v>
      </c>
      <c r="AM47" s="7"/>
      <c r="AN47" s="6">
        <f t="shared" si="15"/>
        <v>0.22442011023954722</v>
      </c>
      <c r="AO47" s="6">
        <f t="shared" si="37"/>
        <v>0.99999999999999989</v>
      </c>
      <c r="AP47" s="7">
        <f t="shared" si="38"/>
        <v>0.77557988976045267</v>
      </c>
      <c r="AQ47" s="7">
        <f t="shared" si="39"/>
        <v>0</v>
      </c>
      <c r="AR47" s="7"/>
      <c r="AS47">
        <f t="shared" si="40"/>
        <v>2000</v>
      </c>
      <c r="AT47" s="2">
        <f t="shared" si="16"/>
        <v>52344.225101923374</v>
      </c>
      <c r="AU47" s="2">
        <f t="shared" si="17"/>
        <v>58811.731912612813</v>
      </c>
      <c r="AV47" s="2"/>
      <c r="AW47" s="2"/>
      <c r="AX47" s="2">
        <f t="shared" si="18"/>
        <v>22410.334420161784</v>
      </c>
      <c r="AY47" s="2"/>
      <c r="AZ47" s="2">
        <f t="shared" si="19"/>
        <v>38648.451621560926</v>
      </c>
      <c r="BA47" s="2">
        <f t="shared" si="20"/>
        <v>172214.74305625891</v>
      </c>
      <c r="BB47" s="2">
        <f t="shared" si="21"/>
        <v>0</v>
      </c>
      <c r="BC47" s="2"/>
      <c r="BM47" s="24"/>
      <c r="BN47">
        <f t="shared" si="5"/>
        <v>2000</v>
      </c>
      <c r="BO47" s="1" t="b">
        <f t="shared" si="41"/>
        <v>0</v>
      </c>
      <c r="BP47" s="1" t="b">
        <f t="shared" si="42"/>
        <v>1</v>
      </c>
      <c r="BS47" s="1" t="b">
        <f t="shared" si="22"/>
        <v>0</v>
      </c>
      <c r="BU47" s="1" t="b">
        <f t="shared" si="43"/>
        <v>0</v>
      </c>
      <c r="BV47" s="1" t="b">
        <f t="shared" si="44"/>
        <v>1</v>
      </c>
      <c r="CH47" s="2"/>
    </row>
    <row r="48" spans="1:86" x14ac:dyDescent="0.25">
      <c r="A48">
        <f t="shared" si="9"/>
        <v>2001</v>
      </c>
      <c r="B48" s="2">
        <f t="shared" si="23"/>
        <v>46052.449244672185</v>
      </c>
      <c r="C48" s="2">
        <f t="shared" si="24"/>
        <v>58811.731912612813</v>
      </c>
      <c r="D48" s="2"/>
      <c r="E48" s="2"/>
      <c r="F48" s="2">
        <f t="shared" si="25"/>
        <v>22410.334420161784</v>
      </c>
      <c r="G48" s="2"/>
      <c r="H48" s="2">
        <f t="shared" si="26"/>
        <v>41906.516093258513</v>
      </c>
      <c r="I48" s="2">
        <f t="shared" si="45"/>
        <v>169181.0316707053</v>
      </c>
      <c r="J48" s="2">
        <f t="shared" si="27"/>
        <v>-8505.9368519141863</v>
      </c>
      <c r="K48" s="6">
        <f t="shared" si="28"/>
        <v>-4.7870347063923166E-2</v>
      </c>
      <c r="L48" s="7">
        <f t="shared" si="29"/>
        <v>0.95212965293607688</v>
      </c>
      <c r="N48">
        <f t="shared" si="30"/>
        <v>2001</v>
      </c>
      <c r="O48" s="2">
        <f t="shared" si="31"/>
        <v>5658.2811322168336</v>
      </c>
      <c r="P48" s="2"/>
      <c r="Q48" s="2"/>
      <c r="R48">
        <f t="shared" si="32"/>
        <v>2001</v>
      </c>
      <c r="S48" s="2">
        <f t="shared" si="46"/>
        <v>44637.878961617978</v>
      </c>
      <c r="T48" s="2">
        <f t="shared" si="46"/>
        <v>57397.161629558606</v>
      </c>
      <c r="U48" s="2"/>
      <c r="V48" s="2"/>
      <c r="W48" s="2">
        <f t="shared" si="13"/>
        <v>20995.764137107577</v>
      </c>
      <c r="X48" s="2"/>
      <c r="Y48" s="2">
        <f t="shared" si="47"/>
        <v>40491.945810204306</v>
      </c>
      <c r="Z48" s="2">
        <f t="shared" si="48"/>
        <v>163522.75053848847</v>
      </c>
      <c r="AA48" s="2">
        <f t="shared" si="34"/>
        <v>-8691.9925177704426</v>
      </c>
      <c r="AB48" s="6">
        <f t="shared" si="35"/>
        <v>-5.0471825835090973E-2</v>
      </c>
      <c r="AC48" s="7">
        <f t="shared" si="36"/>
        <v>0.94952817416490898</v>
      </c>
      <c r="AD48" s="2">
        <f t="shared" si="49"/>
        <v>0</v>
      </c>
      <c r="AE48" s="2"/>
      <c r="AG48">
        <f t="shared" si="14"/>
        <v>2001</v>
      </c>
      <c r="AH48" s="6">
        <f t="shared" si="6"/>
        <v>0.27297656634702661</v>
      </c>
      <c r="AI48" s="6">
        <f t="shared" si="7"/>
        <v>0.35100413514661982</v>
      </c>
      <c r="AJ48" s="7"/>
      <c r="AK48" s="7"/>
      <c r="AL48" s="6">
        <f t="shared" si="8"/>
        <v>0.12839659355023991</v>
      </c>
      <c r="AM48" s="6"/>
      <c r="AN48" s="6">
        <f t="shared" si="15"/>
        <v>0.24762270495611366</v>
      </c>
      <c r="AO48" s="6">
        <f t="shared" si="37"/>
        <v>1</v>
      </c>
      <c r="AP48" s="7">
        <f t="shared" si="38"/>
        <v>0.7523772950438864</v>
      </c>
      <c r="AQ48" s="7">
        <f t="shared" si="39"/>
        <v>0</v>
      </c>
      <c r="AR48" s="7"/>
      <c r="AS48">
        <f t="shared" si="40"/>
        <v>2001</v>
      </c>
      <c r="AT48" s="2">
        <f t="shared" si="16"/>
        <v>44637.878961617978</v>
      </c>
      <c r="AU48" s="2">
        <f t="shared" si="17"/>
        <v>57397.161629558606</v>
      </c>
      <c r="AV48" s="2"/>
      <c r="AW48" s="2"/>
      <c r="AX48" s="2">
        <f t="shared" si="18"/>
        <v>20995.764137107577</v>
      </c>
      <c r="AY48" s="2"/>
      <c r="AZ48" s="2">
        <f t="shared" si="19"/>
        <v>40491.945810204306</v>
      </c>
      <c r="BA48" s="2">
        <f t="shared" si="20"/>
        <v>163522.75053848847</v>
      </c>
      <c r="BB48" s="2">
        <f t="shared" si="21"/>
        <v>0</v>
      </c>
      <c r="BC48" s="2"/>
      <c r="BM48" s="24"/>
      <c r="BN48">
        <f t="shared" si="5"/>
        <v>2001</v>
      </c>
      <c r="BO48" s="1" t="b">
        <f t="shared" si="41"/>
        <v>0</v>
      </c>
      <c r="BP48" s="1" t="b">
        <f t="shared" si="42"/>
        <v>0</v>
      </c>
      <c r="BS48" s="1" t="b">
        <f t="shared" si="22"/>
        <v>0</v>
      </c>
      <c r="BU48" s="28" t="b">
        <f t="shared" si="43"/>
        <v>0</v>
      </c>
      <c r="BV48" s="1" t="b">
        <f t="shared" si="44"/>
        <v>1</v>
      </c>
      <c r="CH48" s="2"/>
    </row>
    <row r="49" spans="1:86" x14ac:dyDescent="0.25">
      <c r="A49">
        <f t="shared" si="9"/>
        <v>2002</v>
      </c>
      <c r="B49" s="2">
        <f t="shared" si="23"/>
        <v>34750.588771619594</v>
      </c>
      <c r="C49" s="2">
        <f t="shared" si="24"/>
        <v>57397.161629558606</v>
      </c>
      <c r="D49" s="2"/>
      <c r="E49" s="2"/>
      <c r="F49" s="2"/>
      <c r="G49" s="2">
        <f>AX48*(1+(G13/100))</f>
        <v>17828.97303230764</v>
      </c>
      <c r="H49" s="2">
        <f t="shared" si="26"/>
        <v>43836.580534127184</v>
      </c>
      <c r="I49" s="2">
        <f t="shared" si="45"/>
        <v>153813.30396761303</v>
      </c>
      <c r="J49" s="2">
        <f t="shared" si="27"/>
        <v>-15367.727703092271</v>
      </c>
      <c r="K49" s="6">
        <f t="shared" si="28"/>
        <v>-9.0835997105184238E-2</v>
      </c>
      <c r="L49" s="7">
        <f t="shared" si="29"/>
        <v>0.9091640028948158</v>
      </c>
      <c r="N49">
        <f t="shared" si="30"/>
        <v>2002</v>
      </c>
      <c r="O49" s="2">
        <f t="shared" si="31"/>
        <v>5748.8136303323026</v>
      </c>
      <c r="P49" s="2"/>
      <c r="Q49" s="2"/>
      <c r="R49">
        <f t="shared" si="32"/>
        <v>2002</v>
      </c>
      <c r="S49" s="2">
        <f t="shared" si="46"/>
        <v>33313.38536403652</v>
      </c>
      <c r="T49" s="2">
        <f t="shared" si="46"/>
        <v>55959.958221975532</v>
      </c>
      <c r="U49" s="2"/>
      <c r="V49" s="2"/>
      <c r="W49" s="2"/>
      <c r="X49" s="2">
        <f>G49-($O49/4)</f>
        <v>16391.769624724566</v>
      </c>
      <c r="Y49" s="2">
        <f t="shared" si="47"/>
        <v>42399.37712654411</v>
      </c>
      <c r="Z49" s="2">
        <f t="shared" si="48"/>
        <v>148064.49033728073</v>
      </c>
      <c r="AA49" s="2">
        <f t="shared" si="34"/>
        <v>-15458.26020120774</v>
      </c>
      <c r="AB49" s="6">
        <f t="shared" si="35"/>
        <v>-9.4532779997296576E-2</v>
      </c>
      <c r="AC49" s="7">
        <f t="shared" si="36"/>
        <v>0.90546722000270341</v>
      </c>
      <c r="AD49" s="2">
        <f t="shared" si="49"/>
        <v>0</v>
      </c>
      <c r="AE49" s="2"/>
      <c r="AG49">
        <f t="shared" si="14"/>
        <v>2002</v>
      </c>
      <c r="AH49" s="6">
        <f t="shared" si="6"/>
        <v>0.22499240221710767</v>
      </c>
      <c r="AI49" s="6">
        <f t="shared" si="7"/>
        <v>0.37794313879379582</v>
      </c>
      <c r="AJ49" s="7"/>
      <c r="AK49" s="7"/>
      <c r="AL49" s="6"/>
      <c r="AM49" s="6">
        <f t="shared" si="8"/>
        <v>0.11070696010491943</v>
      </c>
      <c r="AN49" s="6">
        <f t="shared" si="15"/>
        <v>0.28635749888417705</v>
      </c>
      <c r="AO49" s="6">
        <f t="shared" si="37"/>
        <v>1</v>
      </c>
      <c r="AP49" s="7">
        <f t="shared" si="38"/>
        <v>0.71364250111582295</v>
      </c>
      <c r="AQ49" s="7">
        <f t="shared" si="39"/>
        <v>0</v>
      </c>
      <c r="AR49" s="7"/>
      <c r="AS49">
        <f t="shared" si="40"/>
        <v>2002</v>
      </c>
      <c r="AT49" s="2">
        <f t="shared" si="16"/>
        <v>33313.38536403652</v>
      </c>
      <c r="AU49" s="2">
        <f t="shared" si="17"/>
        <v>55959.958221975532</v>
      </c>
      <c r="AV49" s="2"/>
      <c r="AW49" s="2"/>
      <c r="AX49" s="2"/>
      <c r="AY49" s="2">
        <f>X49</f>
        <v>16391.769624724566</v>
      </c>
      <c r="AZ49" s="2">
        <f t="shared" si="19"/>
        <v>42399.37712654411</v>
      </c>
      <c r="BA49" s="2">
        <f t="shared" si="20"/>
        <v>148064.49033728073</v>
      </c>
      <c r="BB49" s="2">
        <f t="shared" si="21"/>
        <v>0</v>
      </c>
      <c r="BC49" s="2"/>
      <c r="BM49" s="24"/>
      <c r="BN49">
        <f t="shared" si="5"/>
        <v>2002</v>
      </c>
      <c r="BO49" s="1" t="b">
        <f t="shared" si="41"/>
        <v>1</v>
      </c>
      <c r="BP49" s="1" t="b">
        <f t="shared" si="42"/>
        <v>0</v>
      </c>
      <c r="BS49" s="1"/>
      <c r="BT49" s="1" t="b">
        <f t="shared" ref="BT49:BT56" si="50">AND((X49/$Z49)&gt;0.15,(X49/$Z49)&lt;0.25)</f>
        <v>0</v>
      </c>
      <c r="BU49" s="1" t="b">
        <f t="shared" si="43"/>
        <v>1</v>
      </c>
      <c r="BV49" s="1" t="b">
        <f t="shared" si="44"/>
        <v>1</v>
      </c>
      <c r="CH49" s="2"/>
    </row>
    <row r="50" spans="1:86" x14ac:dyDescent="0.25">
      <c r="A50">
        <f t="shared" si="9"/>
        <v>2003</v>
      </c>
      <c r="B50" s="2">
        <f t="shared" si="23"/>
        <v>42807.700192786928</v>
      </c>
      <c r="C50" s="2">
        <f t="shared" si="24"/>
        <v>55959.958221975532</v>
      </c>
      <c r="D50" s="2"/>
      <c r="E50" s="2"/>
      <c r="F50" s="2"/>
      <c r="G50" s="2">
        <f t="shared" ref="G50:G64" si="51">AY49*(1+(G14/100))</f>
        <v>23004.209491338454</v>
      </c>
      <c r="H50" s="2">
        <f t="shared" si="26"/>
        <v>44082.632398467911</v>
      </c>
      <c r="I50" s="2">
        <f t="shared" si="45"/>
        <v>165854.50030456882</v>
      </c>
      <c r="J50" s="2">
        <f t="shared" si="27"/>
        <v>12041.196336955793</v>
      </c>
      <c r="K50" s="6">
        <f t="shared" si="28"/>
        <v>7.8284491824525071E-2</v>
      </c>
      <c r="L50" s="7">
        <f t="shared" si="29"/>
        <v>1.0782844918245251</v>
      </c>
      <c r="N50">
        <f t="shared" si="30"/>
        <v>2003</v>
      </c>
      <c r="O50" s="2">
        <f t="shared" si="31"/>
        <v>5892.5339710906101</v>
      </c>
      <c r="P50" s="2"/>
      <c r="Q50" s="2"/>
      <c r="R50">
        <f t="shared" si="32"/>
        <v>2003</v>
      </c>
      <c r="S50" s="2">
        <f>B50-($O50/4)</f>
        <v>41334.566700014278</v>
      </c>
      <c r="T50" s="2">
        <f>C50-($O50/4)</f>
        <v>54486.824729202883</v>
      </c>
      <c r="U50" s="2"/>
      <c r="V50" s="2"/>
      <c r="W50" s="2"/>
      <c r="X50" s="2">
        <f>G50-($O50/4)</f>
        <v>21531.075998565801</v>
      </c>
      <c r="Y50" s="2">
        <f>H50-($O50/4)</f>
        <v>42609.498905695262</v>
      </c>
      <c r="Z50" s="2">
        <f t="shared" si="48"/>
        <v>159961.96633347822</v>
      </c>
      <c r="AA50" s="2">
        <f t="shared" si="34"/>
        <v>11897.475996197492</v>
      </c>
      <c r="AB50" s="6">
        <f t="shared" si="35"/>
        <v>8.0353337718556683E-2</v>
      </c>
      <c r="AC50" s="7">
        <f t="shared" si="36"/>
        <v>1.0803533377185568</v>
      </c>
      <c r="AD50" s="2">
        <f t="shared" si="49"/>
        <v>0</v>
      </c>
      <c r="AE50" s="2"/>
      <c r="AG50">
        <f t="shared" si="14"/>
        <v>2003</v>
      </c>
      <c r="AH50" s="6">
        <f t="shared" si="6"/>
        <v>0.25840246683291379</v>
      </c>
      <c r="AI50" s="6">
        <f t="shared" si="7"/>
        <v>0.34062362434087812</v>
      </c>
      <c r="AJ50" s="7"/>
      <c r="AK50" s="7"/>
      <c r="AL50" s="7"/>
      <c r="AM50" s="6">
        <f t="shared" si="8"/>
        <v>0.13460122110326667</v>
      </c>
      <c r="AN50" s="6">
        <f t="shared" si="15"/>
        <v>0.26637268772294143</v>
      </c>
      <c r="AO50" s="6">
        <f t="shared" si="37"/>
        <v>1</v>
      </c>
      <c r="AP50" s="7">
        <f t="shared" si="38"/>
        <v>0.73362731227705857</v>
      </c>
      <c r="AQ50" s="7">
        <f t="shared" si="39"/>
        <v>0</v>
      </c>
      <c r="AR50" s="7"/>
      <c r="AS50">
        <f t="shared" si="40"/>
        <v>2003</v>
      </c>
      <c r="AT50" s="2">
        <f t="shared" si="16"/>
        <v>41334.566700014278</v>
      </c>
      <c r="AU50" s="2">
        <f t="shared" si="17"/>
        <v>54486.824729202883</v>
      </c>
      <c r="AV50" s="2"/>
      <c r="AW50" s="2"/>
      <c r="AX50" s="2"/>
      <c r="AY50" s="2">
        <f>X50</f>
        <v>21531.075998565801</v>
      </c>
      <c r="AZ50" s="2">
        <f t="shared" si="19"/>
        <v>42609.498905695262</v>
      </c>
      <c r="BA50" s="2">
        <f t="shared" si="20"/>
        <v>159961.96633347822</v>
      </c>
      <c r="BB50" s="2">
        <f t="shared" si="21"/>
        <v>0</v>
      </c>
      <c r="BC50" s="2"/>
      <c r="BM50" s="24"/>
      <c r="BN50">
        <f t="shared" si="5"/>
        <v>2003</v>
      </c>
      <c r="BO50" s="28" t="b">
        <f t="shared" si="41"/>
        <v>0</v>
      </c>
      <c r="BP50" s="1" t="b">
        <f t="shared" si="42"/>
        <v>1</v>
      </c>
      <c r="BT50" s="1" t="b">
        <f t="shared" si="50"/>
        <v>0</v>
      </c>
      <c r="BU50" s="1" t="b">
        <f t="shared" si="43"/>
        <v>1</v>
      </c>
      <c r="BV50" s="1" t="b">
        <f t="shared" si="44"/>
        <v>1</v>
      </c>
      <c r="CH50" s="2"/>
    </row>
    <row r="51" spans="1:86" x14ac:dyDescent="0.25">
      <c r="A51">
        <f t="shared" si="9"/>
        <v>2004</v>
      </c>
      <c r="B51" s="2">
        <f t="shared" ref="B51:B69" si="52">AT50*(1+(B15/100))</f>
        <v>45773.899163595808</v>
      </c>
      <c r="C51" s="2"/>
      <c r="D51" s="2">
        <f>($AU50*0.67)*(1+(D15/100))</f>
        <v>43936.273871446159</v>
      </c>
      <c r="E51" s="2">
        <f>($AU50*0.33)*(1+(E15/100))</f>
        <v>21558.262521038891</v>
      </c>
      <c r="F51" s="2"/>
      <c r="G51" s="2">
        <f t="shared" si="51"/>
        <v>26017.506304386956</v>
      </c>
      <c r="H51" s="2">
        <f t="shared" si="26"/>
        <v>44416.141659296743</v>
      </c>
      <c r="I51" s="2">
        <f t="shared" si="45"/>
        <v>181702.08351976454</v>
      </c>
      <c r="J51" s="2">
        <f t="shared" si="27"/>
        <v>15847.583215195715</v>
      </c>
      <c r="K51" s="6">
        <f t="shared" si="28"/>
        <v>9.5551119722972991E-2</v>
      </c>
      <c r="L51" s="7">
        <f t="shared" si="29"/>
        <v>1.095551119722973</v>
      </c>
      <c r="N51">
        <f t="shared" si="30"/>
        <v>2004</v>
      </c>
      <c r="O51" s="2">
        <f t="shared" si="31"/>
        <v>6010.384650512422</v>
      </c>
      <c r="P51" s="2"/>
      <c r="Q51" s="2"/>
      <c r="R51">
        <f t="shared" si="32"/>
        <v>2004</v>
      </c>
      <c r="S51" s="2">
        <f>B51-($O51/5)</f>
        <v>44571.822233493323</v>
      </c>
      <c r="T51" s="2"/>
      <c r="U51" s="2">
        <f>D51-($O51/5)</f>
        <v>42734.196941343675</v>
      </c>
      <c r="V51" s="2">
        <f>E51-($O51/5)</f>
        <v>20356.185590936406</v>
      </c>
      <c r="W51" s="2"/>
      <c r="X51" s="2">
        <f>G51-($O51/5)</f>
        <v>24815.429374284471</v>
      </c>
      <c r="Y51" s="2">
        <f>H51-($O51/5)</f>
        <v>43214.064729194259</v>
      </c>
      <c r="Z51" s="2">
        <f t="shared" si="48"/>
        <v>175691.69886925211</v>
      </c>
      <c r="AA51" s="2">
        <f t="shared" si="34"/>
        <v>15729.732535773888</v>
      </c>
      <c r="AB51" s="6">
        <f t="shared" si="35"/>
        <v>9.8334203412963631E-2</v>
      </c>
      <c r="AC51" s="7">
        <f t="shared" si="36"/>
        <v>1.0983342034129637</v>
      </c>
      <c r="AD51" s="2">
        <f t="shared" si="49"/>
        <v>0</v>
      </c>
      <c r="AE51" s="2"/>
      <c r="AG51">
        <f t="shared" si="14"/>
        <v>2004</v>
      </c>
      <c r="AH51" s="6">
        <f t="shared" ref="AH51:AH64" si="53">S51/$Z51</f>
        <v>0.25369338745288811</v>
      </c>
      <c r="AI51" s="7"/>
      <c r="AJ51" s="6">
        <f t="shared" ref="AJ51:AJ64" si="54">U51/$Z51</f>
        <v>0.24323401285535981</v>
      </c>
      <c r="AK51" s="6">
        <f t="shared" ref="AK51:AK64" si="55">V51/$Z51</f>
        <v>0.1158631040734899</v>
      </c>
      <c r="AL51" s="7"/>
      <c r="AM51" s="6">
        <f t="shared" si="8"/>
        <v>0.14124417678237519</v>
      </c>
      <c r="AN51" s="6">
        <f t="shared" si="15"/>
        <v>0.2459653188358871</v>
      </c>
      <c r="AO51" s="6">
        <f t="shared" si="37"/>
        <v>1</v>
      </c>
      <c r="AP51" s="7">
        <f t="shared" si="38"/>
        <v>0.75403468116411299</v>
      </c>
      <c r="AQ51" s="7">
        <f t="shared" si="39"/>
        <v>0</v>
      </c>
      <c r="AR51" s="7"/>
      <c r="AS51">
        <f t="shared" si="40"/>
        <v>2004</v>
      </c>
      <c r="AT51" s="2">
        <f>S51</f>
        <v>44571.822233493323</v>
      </c>
      <c r="AU51" s="2"/>
      <c r="AV51" s="2">
        <f t="shared" ref="AV51:AW53" si="56">U51</f>
        <v>42734.196941343675</v>
      </c>
      <c r="AW51" s="2">
        <f t="shared" si="56"/>
        <v>20356.185590936406</v>
      </c>
      <c r="AX51" s="2"/>
      <c r="AY51" s="2">
        <f>X51</f>
        <v>24815.429374284471</v>
      </c>
      <c r="AZ51" s="2">
        <f t="shared" si="19"/>
        <v>43214.064729194259</v>
      </c>
      <c r="BA51" s="2">
        <f t="shared" si="20"/>
        <v>175691.69886925211</v>
      </c>
      <c r="BB51" s="2">
        <f t="shared" si="21"/>
        <v>0</v>
      </c>
      <c r="BC51" s="2"/>
      <c r="BM51" s="24"/>
      <c r="BN51">
        <f t="shared" si="5"/>
        <v>2004</v>
      </c>
      <c r="BO51" s="1" t="b">
        <f t="shared" si="41"/>
        <v>0</v>
      </c>
      <c r="BQ51" s="1" t="b">
        <f>AND((U51/$Z51)&gt;0.15,(U51/$Z51)&lt;0.25)</f>
        <v>1</v>
      </c>
      <c r="BR51" s="1" t="b">
        <f>AND((V51/$Z51)&gt;0.05,(V51/$Z51)&lt;0.15)</f>
        <v>1</v>
      </c>
      <c r="BT51" s="1" t="b">
        <f t="shared" si="50"/>
        <v>0</v>
      </c>
      <c r="BU51" s="1" t="b">
        <f t="shared" si="43"/>
        <v>0</v>
      </c>
      <c r="BV51" s="1" t="b">
        <f t="shared" si="44"/>
        <v>1</v>
      </c>
      <c r="CH51" s="2"/>
    </row>
    <row r="52" spans="1:86" x14ac:dyDescent="0.25">
      <c r="A52">
        <f t="shared" si="9"/>
        <v>2005</v>
      </c>
      <c r="B52" s="2">
        <f t="shared" si="52"/>
        <v>46697.898154030961</v>
      </c>
      <c r="C52" s="2"/>
      <c r="D52" s="2">
        <f t="shared" ref="D52:D64" si="57">AV51*(1+(D16/100))</f>
        <v>48687.497917242261</v>
      </c>
      <c r="E52" s="2">
        <f t="shared" ref="E52:E64" si="58">AW51*(1+(E16/100))</f>
        <v>21855.011535997055</v>
      </c>
      <c r="F52" s="2"/>
      <c r="G52" s="2">
        <f t="shared" si="51"/>
        <v>28679.439882154307</v>
      </c>
      <c r="H52" s="2">
        <f t="shared" si="26"/>
        <v>44251.202282694925</v>
      </c>
      <c r="I52" s="2">
        <f t="shared" si="45"/>
        <v>190171.0497721195</v>
      </c>
      <c r="J52" s="2">
        <f t="shared" si="27"/>
        <v>8468.9662523549632</v>
      </c>
      <c r="K52" s="6">
        <f t="shared" si="28"/>
        <v>4.6609076177344749E-2</v>
      </c>
      <c r="L52" s="7">
        <f t="shared" si="29"/>
        <v>1.0466090761773448</v>
      </c>
      <c r="N52">
        <f t="shared" si="30"/>
        <v>2005</v>
      </c>
      <c r="O52" s="2">
        <f t="shared" si="31"/>
        <v>6208.7273439793316</v>
      </c>
      <c r="P52" s="2"/>
      <c r="Q52" s="2"/>
      <c r="R52">
        <f t="shared" si="32"/>
        <v>2005</v>
      </c>
      <c r="S52" s="2">
        <f t="shared" ref="S52:S64" si="59">B52-($O52/5)</f>
        <v>45456.152685235094</v>
      </c>
      <c r="T52" s="2"/>
      <c r="U52" s="2">
        <f t="shared" ref="U52:V64" si="60">D52-($O52/5)</f>
        <v>47445.752448446394</v>
      </c>
      <c r="V52" s="2">
        <f t="shared" si="60"/>
        <v>20613.266067201188</v>
      </c>
      <c r="W52" s="2"/>
      <c r="X52" s="2">
        <f t="shared" ref="X52:Y64" si="61">G52-($O52/5)</f>
        <v>27437.69441335844</v>
      </c>
      <c r="Y52" s="2">
        <f t="shared" si="61"/>
        <v>43009.456813899058</v>
      </c>
      <c r="Z52" s="2">
        <f t="shared" si="48"/>
        <v>183962.32242814015</v>
      </c>
      <c r="AA52" s="2">
        <f t="shared" si="34"/>
        <v>8270.6235588880372</v>
      </c>
      <c r="AB52" s="6">
        <f t="shared" si="35"/>
        <v>4.7074640476001926E-2</v>
      </c>
      <c r="AC52" s="7">
        <f t="shared" si="36"/>
        <v>1.0470746404760018</v>
      </c>
      <c r="AD52" s="2">
        <f t="shared" si="49"/>
        <v>0</v>
      </c>
      <c r="AE52" s="2"/>
      <c r="AG52">
        <f t="shared" si="14"/>
        <v>2005</v>
      </c>
      <c r="AH52" s="6">
        <f t="shared" si="53"/>
        <v>0.24709490555051727</v>
      </c>
      <c r="AI52" s="7"/>
      <c r="AJ52" s="6">
        <f t="shared" si="54"/>
        <v>0.25791016237566677</v>
      </c>
      <c r="AK52" s="6">
        <f t="shared" si="55"/>
        <v>0.11205156466348264</v>
      </c>
      <c r="AL52" s="7"/>
      <c r="AM52" s="6">
        <f t="shared" si="8"/>
        <v>0.14914844545994588</v>
      </c>
      <c r="AN52" s="6">
        <f t="shared" si="15"/>
        <v>0.23379492195038756</v>
      </c>
      <c r="AO52" s="6">
        <f t="shared" si="37"/>
        <v>1.0000000000000002</v>
      </c>
      <c r="AP52" s="7">
        <f t="shared" si="38"/>
        <v>0.76620507804961258</v>
      </c>
      <c r="AQ52" s="7">
        <f t="shared" si="39"/>
        <v>0</v>
      </c>
      <c r="AR52" s="7"/>
      <c r="AS52">
        <f t="shared" si="40"/>
        <v>2005</v>
      </c>
      <c r="AT52" s="2">
        <f>S52</f>
        <v>45456.152685235094</v>
      </c>
      <c r="AU52" s="2"/>
      <c r="AV52" s="2">
        <f t="shared" si="56"/>
        <v>47445.752448446394</v>
      </c>
      <c r="AW52" s="2">
        <f t="shared" si="56"/>
        <v>20613.266067201188</v>
      </c>
      <c r="AX52" s="2"/>
      <c r="AY52" s="2">
        <f>X52</f>
        <v>27437.69441335844</v>
      </c>
      <c r="AZ52" s="2">
        <f t="shared" si="19"/>
        <v>43009.456813899058</v>
      </c>
      <c r="BA52" s="2">
        <f t="shared" si="20"/>
        <v>183962.32242814015</v>
      </c>
      <c r="BB52" s="2">
        <f t="shared" si="21"/>
        <v>0</v>
      </c>
      <c r="BC52" s="2"/>
      <c r="BM52" s="24"/>
      <c r="BN52">
        <f t="shared" si="5"/>
        <v>2005</v>
      </c>
      <c r="BO52" s="1" t="b">
        <f t="shared" si="41"/>
        <v>1</v>
      </c>
      <c r="BQ52" s="1" t="b">
        <f t="shared" ref="BQ52:BQ66" si="62">AND((U52/$Z52)&gt;0.15,(U52/$Z52)&lt;0.25)</f>
        <v>0</v>
      </c>
      <c r="BR52" s="1" t="b">
        <f t="shared" ref="BR52:BR66" si="63">AND((V52/$Z52)&gt;0.05,(V52/$Z52)&lt;0.15)</f>
        <v>1</v>
      </c>
      <c r="BT52" s="1" t="b">
        <f t="shared" si="50"/>
        <v>0</v>
      </c>
      <c r="BU52" s="1" t="b">
        <f t="shared" si="43"/>
        <v>0</v>
      </c>
      <c r="BV52" s="1" t="b">
        <f t="shared" si="44"/>
        <v>1</v>
      </c>
      <c r="CH52" s="2"/>
    </row>
    <row r="53" spans="1:86" x14ac:dyDescent="0.25">
      <c r="A53">
        <f t="shared" si="9"/>
        <v>2006</v>
      </c>
      <c r="B53" s="2">
        <f t="shared" si="52"/>
        <v>52565.494965205864</v>
      </c>
      <c r="C53" s="2"/>
      <c r="D53" s="2">
        <f t="shared" si="57"/>
        <v>53896.951408861649</v>
      </c>
      <c r="E53" s="2">
        <f t="shared" si="58"/>
        <v>23840.479002682208</v>
      </c>
      <c r="F53" s="2"/>
      <c r="G53" s="2">
        <f t="shared" si="51"/>
        <v>34746.273074244731</v>
      </c>
      <c r="H53" s="2">
        <f t="shared" si="26"/>
        <v>44845.960619852543</v>
      </c>
      <c r="I53" s="2">
        <f t="shared" si="45"/>
        <v>209895.15907084697</v>
      </c>
      <c r="J53" s="2">
        <f t="shared" si="27"/>
        <v>19724.109298727475</v>
      </c>
      <c r="K53" s="6">
        <f t="shared" si="28"/>
        <v>0.10371772844690463</v>
      </c>
      <c r="L53" s="7">
        <f t="shared" si="29"/>
        <v>1.1037177284469046</v>
      </c>
      <c r="N53">
        <f t="shared" si="30"/>
        <v>2006</v>
      </c>
      <c r="O53" s="2">
        <f t="shared" si="31"/>
        <v>6413.6153463306491</v>
      </c>
      <c r="P53" s="2"/>
      <c r="Q53" s="2"/>
      <c r="R53">
        <f t="shared" si="32"/>
        <v>2006</v>
      </c>
      <c r="S53" s="2">
        <f t="shared" si="59"/>
        <v>51282.771895939732</v>
      </c>
      <c r="T53" s="2"/>
      <c r="U53" s="2">
        <f t="shared" si="60"/>
        <v>52614.228339595516</v>
      </c>
      <c r="V53" s="2">
        <f t="shared" si="60"/>
        <v>22557.75593341608</v>
      </c>
      <c r="W53" s="2"/>
      <c r="X53" s="2">
        <f t="shared" si="61"/>
        <v>33463.550004978599</v>
      </c>
      <c r="Y53" s="2">
        <f t="shared" si="61"/>
        <v>43563.237550586411</v>
      </c>
      <c r="Z53" s="2">
        <f t="shared" si="48"/>
        <v>203481.54372451632</v>
      </c>
      <c r="AA53" s="2">
        <f t="shared" si="34"/>
        <v>19519.22129637617</v>
      </c>
      <c r="AB53" s="6">
        <f t="shared" si="35"/>
        <v>0.10610445138297719</v>
      </c>
      <c r="AC53" s="7">
        <f t="shared" si="36"/>
        <v>1.1061044513829772</v>
      </c>
      <c r="AD53" s="2">
        <f t="shared" si="49"/>
        <v>0</v>
      </c>
      <c r="AE53" s="2"/>
      <c r="AG53">
        <f t="shared" si="14"/>
        <v>2006</v>
      </c>
      <c r="AH53" s="6">
        <f t="shared" si="53"/>
        <v>0.25202665046304623</v>
      </c>
      <c r="AI53" s="7"/>
      <c r="AJ53" s="6">
        <f t="shared" si="54"/>
        <v>0.25857002741647833</v>
      </c>
      <c r="AK53" s="6">
        <f t="shared" si="55"/>
        <v>0.11085897777518298</v>
      </c>
      <c r="AL53" s="7"/>
      <c r="AM53" s="6">
        <f t="shared" si="8"/>
        <v>0.16445496428060943</v>
      </c>
      <c r="AN53" s="6">
        <f t="shared" si="15"/>
        <v>0.21408938006468312</v>
      </c>
      <c r="AO53" s="6">
        <f t="shared" si="37"/>
        <v>1</v>
      </c>
      <c r="AP53" s="7">
        <f t="shared" si="38"/>
        <v>0.78591061993531697</v>
      </c>
      <c r="AQ53" s="7">
        <f t="shared" si="39"/>
        <v>0</v>
      </c>
      <c r="AR53" s="7"/>
      <c r="AS53">
        <f t="shared" si="40"/>
        <v>2006</v>
      </c>
      <c r="AT53" s="2">
        <f>S53</f>
        <v>51282.771895939732</v>
      </c>
      <c r="AU53" s="2"/>
      <c r="AV53" s="2">
        <f t="shared" si="56"/>
        <v>52614.228339595516</v>
      </c>
      <c r="AW53" s="2">
        <f t="shared" si="56"/>
        <v>22557.75593341608</v>
      </c>
      <c r="AX53" s="2"/>
      <c r="AY53" s="2">
        <f>X53</f>
        <v>33463.550004978599</v>
      </c>
      <c r="AZ53" s="2">
        <f t="shared" si="19"/>
        <v>43563.237550586411</v>
      </c>
      <c r="BA53" s="2">
        <f t="shared" si="20"/>
        <v>203481.54372451632</v>
      </c>
      <c r="BB53" s="2">
        <f t="shared" si="21"/>
        <v>0</v>
      </c>
      <c r="BC53" s="2"/>
      <c r="BM53" s="24"/>
      <c r="BN53">
        <f t="shared" si="5"/>
        <v>2006</v>
      </c>
      <c r="BO53" s="1" t="b">
        <f t="shared" si="41"/>
        <v>0</v>
      </c>
      <c r="BQ53" s="1" t="b">
        <f t="shared" si="62"/>
        <v>0</v>
      </c>
      <c r="BR53" s="1" t="b">
        <f t="shared" si="63"/>
        <v>1</v>
      </c>
      <c r="BT53" s="1" t="b">
        <f t="shared" si="50"/>
        <v>1</v>
      </c>
      <c r="BU53" s="1" t="b">
        <f t="shared" si="43"/>
        <v>0</v>
      </c>
      <c r="BV53" s="1" t="b">
        <f t="shared" si="44"/>
        <v>1</v>
      </c>
      <c r="CH53" s="2"/>
    </row>
    <row r="54" spans="1:86" x14ac:dyDescent="0.25">
      <c r="A54">
        <f t="shared" si="9"/>
        <v>2007</v>
      </c>
      <c r="B54" s="2">
        <f t="shared" si="52"/>
        <v>54046.913301130888</v>
      </c>
      <c r="C54" s="2"/>
      <c r="D54" s="2">
        <f t="shared" si="57"/>
        <v>55782.131027922565</v>
      </c>
      <c r="E54" s="2">
        <f t="shared" si="58"/>
        <v>22818.523592006371</v>
      </c>
      <c r="F54" s="2"/>
      <c r="G54" s="2">
        <f t="shared" si="51"/>
        <v>38657.762236751376</v>
      </c>
      <c r="H54" s="2">
        <f t="shared" si="26"/>
        <v>46577.813589086989</v>
      </c>
      <c r="I54" s="2">
        <f t="shared" si="45"/>
        <v>217883.14374689822</v>
      </c>
      <c r="J54" s="2">
        <f t="shared" si="27"/>
        <v>7987.9846760512446</v>
      </c>
      <c r="K54" s="6">
        <f t="shared" si="28"/>
        <v>3.8057021950444414E-2</v>
      </c>
      <c r="L54" s="7">
        <f t="shared" si="29"/>
        <v>1.0380570219504444</v>
      </c>
      <c r="N54">
        <f t="shared" si="30"/>
        <v>2007</v>
      </c>
      <c r="O54" s="2">
        <f t="shared" si="31"/>
        <v>6573.9557299889148</v>
      </c>
      <c r="P54" s="2"/>
      <c r="Q54" s="2"/>
      <c r="R54">
        <f t="shared" si="32"/>
        <v>2007</v>
      </c>
      <c r="S54" s="2">
        <f t="shared" si="59"/>
        <v>52732.122155133104</v>
      </c>
      <c r="T54" s="2"/>
      <c r="U54" s="2">
        <f t="shared" si="60"/>
        <v>54467.339881924781</v>
      </c>
      <c r="V54" s="2">
        <f t="shared" si="60"/>
        <v>21503.732446008587</v>
      </c>
      <c r="W54" s="2"/>
      <c r="X54" s="2">
        <f t="shared" si="61"/>
        <v>37342.971090753592</v>
      </c>
      <c r="Y54" s="2">
        <f t="shared" si="61"/>
        <v>45263.022443089205</v>
      </c>
      <c r="Z54" s="2">
        <f t="shared" si="48"/>
        <v>211309.18801690926</v>
      </c>
      <c r="AA54" s="2">
        <f t="shared" si="34"/>
        <v>7827.6442923929426</v>
      </c>
      <c r="AB54" s="6">
        <f t="shared" si="35"/>
        <v>3.8468571395302596E-2</v>
      </c>
      <c r="AC54" s="7">
        <f t="shared" si="36"/>
        <v>1.0384685713953026</v>
      </c>
      <c r="AD54" s="2">
        <f t="shared" si="49"/>
        <v>0</v>
      </c>
      <c r="AE54" s="2"/>
      <c r="AG54">
        <f t="shared" si="14"/>
        <v>2007</v>
      </c>
      <c r="AH54" s="6">
        <f t="shared" si="53"/>
        <v>0.24954959436460189</v>
      </c>
      <c r="AI54" s="7"/>
      <c r="AJ54" s="6">
        <f t="shared" si="54"/>
        <v>0.25776134200830975</v>
      </c>
      <c r="AK54" s="6">
        <f t="shared" si="55"/>
        <v>0.10176430399367124</v>
      </c>
      <c r="AL54" s="7"/>
      <c r="AM54" s="6">
        <f t="shared" si="8"/>
        <v>0.17672194683633613</v>
      </c>
      <c r="AN54" s="6">
        <f t="shared" si="15"/>
        <v>0.214202812797081</v>
      </c>
      <c r="AO54" s="6">
        <f t="shared" si="37"/>
        <v>0.99999999999999989</v>
      </c>
      <c r="AP54" s="7">
        <f t="shared" si="38"/>
        <v>0.78579718720291891</v>
      </c>
      <c r="AQ54" s="7">
        <f t="shared" si="39"/>
        <v>0</v>
      </c>
      <c r="AR54" s="7"/>
      <c r="AS54">
        <f t="shared" si="40"/>
        <v>2007</v>
      </c>
      <c r="AT54" s="40">
        <v>0</v>
      </c>
      <c r="AU54" s="40"/>
      <c r="AV54" s="40">
        <v>0</v>
      </c>
      <c r="AW54" s="40">
        <v>0</v>
      </c>
      <c r="AX54" s="40"/>
      <c r="AY54" s="40">
        <v>0</v>
      </c>
      <c r="AZ54" s="40">
        <f>Z54</f>
        <v>211309.18801690926</v>
      </c>
      <c r="BA54" s="2">
        <f t="shared" ref="BA54:BA62" si="64">Z54</f>
        <v>211309.18801690926</v>
      </c>
      <c r="BB54" s="2">
        <f t="shared" si="21"/>
        <v>0</v>
      </c>
      <c r="BC54" s="2"/>
      <c r="BM54" s="24"/>
      <c r="BN54">
        <f t="shared" si="5"/>
        <v>2007</v>
      </c>
      <c r="BO54" s="28" t="b">
        <f t="shared" si="41"/>
        <v>1</v>
      </c>
      <c r="BQ54" s="1" t="b">
        <f t="shared" si="62"/>
        <v>0</v>
      </c>
      <c r="BR54" s="1" t="b">
        <f t="shared" si="63"/>
        <v>1</v>
      </c>
      <c r="BT54" s="28" t="b">
        <f t="shared" si="50"/>
        <v>1</v>
      </c>
      <c r="BU54" s="28" t="b">
        <f t="shared" si="43"/>
        <v>0</v>
      </c>
      <c r="BV54" s="1" t="b">
        <f t="shared" si="44"/>
        <v>1</v>
      </c>
      <c r="CH54" s="2"/>
    </row>
    <row r="55" spans="1:86" x14ac:dyDescent="0.25">
      <c r="A55">
        <f t="shared" si="9"/>
        <v>2008</v>
      </c>
      <c r="B55" s="2">
        <f t="shared" si="52"/>
        <v>0</v>
      </c>
      <c r="C55" s="2"/>
      <c r="D55" s="2">
        <f t="shared" si="57"/>
        <v>0</v>
      </c>
      <c r="E55" s="2">
        <f t="shared" si="58"/>
        <v>0</v>
      </c>
      <c r="F55" s="2"/>
      <c r="G55" s="2">
        <f t="shared" si="51"/>
        <v>0</v>
      </c>
      <c r="H55" s="2">
        <f t="shared" si="26"/>
        <v>221980.30201176318</v>
      </c>
      <c r="I55" s="2">
        <f t="shared" si="45"/>
        <v>221980.30201176318</v>
      </c>
      <c r="J55" s="2">
        <f t="shared" si="27"/>
        <v>4097.1582648649637</v>
      </c>
      <c r="K55" s="6">
        <f t="shared" si="28"/>
        <v>1.8804383828904116E-2</v>
      </c>
      <c r="L55" s="7">
        <f t="shared" si="29"/>
        <v>1.018804383828904</v>
      </c>
      <c r="N55">
        <f t="shared" si="30"/>
        <v>2008</v>
      </c>
      <c r="O55" s="2">
        <f t="shared" si="31"/>
        <v>6843.4879149184599</v>
      </c>
      <c r="P55" s="2"/>
      <c r="Q55" s="2"/>
      <c r="R55">
        <f t="shared" si="32"/>
        <v>2008</v>
      </c>
      <c r="S55" s="40">
        <v>0</v>
      </c>
      <c r="T55" s="40"/>
      <c r="U55" s="40">
        <v>0</v>
      </c>
      <c r="V55" s="40">
        <v>0</v>
      </c>
      <c r="W55" s="40"/>
      <c r="X55" s="40">
        <v>0</v>
      </c>
      <c r="Y55" s="40">
        <f>H55-($O55)</f>
        <v>215136.81409684473</v>
      </c>
      <c r="Z55" s="2">
        <f t="shared" si="48"/>
        <v>215136.81409684473</v>
      </c>
      <c r="AA55" s="2">
        <f t="shared" si="34"/>
        <v>3827.6260799354641</v>
      </c>
      <c r="AB55" s="6">
        <f t="shared" si="35"/>
        <v>1.8113864881394423E-2</v>
      </c>
      <c r="AC55" s="7">
        <f t="shared" si="36"/>
        <v>1.0181138648813943</v>
      </c>
      <c r="AD55" s="2">
        <f t="shared" si="49"/>
        <v>0</v>
      </c>
      <c r="AE55" s="2"/>
      <c r="AG55">
        <f t="shared" si="14"/>
        <v>2008</v>
      </c>
      <c r="AH55" s="38">
        <f t="shared" si="53"/>
        <v>0</v>
      </c>
      <c r="AI55" s="61"/>
      <c r="AJ55" s="38">
        <f t="shared" si="54"/>
        <v>0</v>
      </c>
      <c r="AK55" s="38">
        <f t="shared" si="55"/>
        <v>0</v>
      </c>
      <c r="AL55" s="61"/>
      <c r="AM55" s="38">
        <f t="shared" ref="AM55:AM64" si="65">X55/$Z55</f>
        <v>0</v>
      </c>
      <c r="AN55" s="38">
        <f t="shared" si="15"/>
        <v>1</v>
      </c>
      <c r="AO55" s="6">
        <f t="shared" si="37"/>
        <v>1</v>
      </c>
      <c r="AP55" s="7">
        <f t="shared" si="38"/>
        <v>0</v>
      </c>
      <c r="AQ55" s="7">
        <f t="shared" si="39"/>
        <v>0</v>
      </c>
      <c r="AR55" s="7"/>
      <c r="AS55">
        <f t="shared" si="40"/>
        <v>2008</v>
      </c>
      <c r="AT55" s="40">
        <f>$Z55*AT$39</f>
        <v>43027.362819368951</v>
      </c>
      <c r="AU55" s="40"/>
      <c r="AV55" s="40">
        <f>$Z55*AV$39</f>
        <v>43027.362819368951</v>
      </c>
      <c r="AW55" s="40">
        <f>$Z55*AW$39</f>
        <v>21513.681409684476</v>
      </c>
      <c r="AX55" s="40"/>
      <c r="AY55" s="40">
        <f>$Z55*AY$39</f>
        <v>43027.362819368951</v>
      </c>
      <c r="AZ55" s="40">
        <f>$Z55*AZ$39</f>
        <v>64541.044229053412</v>
      </c>
      <c r="BA55" s="2">
        <f t="shared" si="64"/>
        <v>215136.81409684473</v>
      </c>
      <c r="BB55" s="2">
        <f t="shared" si="21"/>
        <v>0</v>
      </c>
      <c r="BC55" s="2"/>
      <c r="BM55" s="24"/>
      <c r="BN55">
        <f t="shared" si="5"/>
        <v>2008</v>
      </c>
      <c r="BO55" s="1" t="b">
        <f t="shared" si="41"/>
        <v>0</v>
      </c>
      <c r="BQ55" s="1" t="b">
        <f t="shared" si="62"/>
        <v>0</v>
      </c>
      <c r="BR55" s="1" t="b">
        <f t="shared" si="63"/>
        <v>0</v>
      </c>
      <c r="BT55" s="1" t="b">
        <f t="shared" si="50"/>
        <v>0</v>
      </c>
      <c r="BU55" s="28" t="b">
        <f t="shared" si="43"/>
        <v>0</v>
      </c>
      <c r="BV55" s="1" t="b">
        <f t="shared" si="44"/>
        <v>1</v>
      </c>
      <c r="CH55" s="2"/>
    </row>
    <row r="56" spans="1:86" x14ac:dyDescent="0.25">
      <c r="A56">
        <f t="shared" si="9"/>
        <v>2009</v>
      </c>
      <c r="B56" s="2">
        <f t="shared" si="52"/>
        <v>54425.311230219784</v>
      </c>
      <c r="C56" s="2"/>
      <c r="D56" s="2">
        <f t="shared" si="57"/>
        <v>60332.107598062757</v>
      </c>
      <c r="E56" s="2">
        <f t="shared" si="58"/>
        <v>29283.992861234317</v>
      </c>
      <c r="F56" s="2"/>
      <c r="G56" s="2">
        <f t="shared" si="51"/>
        <v>58830.022362038588</v>
      </c>
      <c r="H56" s="2">
        <f t="shared" si="26"/>
        <v>68368.328151836278</v>
      </c>
      <c r="I56" s="2">
        <f t="shared" si="45"/>
        <v>271239.7622033917</v>
      </c>
      <c r="J56" s="2">
        <f>I56-I55</f>
        <v>49259.460191628517</v>
      </c>
      <c r="K56" s="6">
        <f>(J56/I55)</f>
        <v>0.22190915024981883</v>
      </c>
      <c r="L56" s="7">
        <f t="shared" si="29"/>
        <v>1.2219091502498189</v>
      </c>
      <c r="N56">
        <f t="shared" si="30"/>
        <v>2009</v>
      </c>
      <c r="O56" s="2">
        <f t="shared" si="31"/>
        <v>6843.4879149184599</v>
      </c>
      <c r="P56" s="2"/>
      <c r="Q56" s="2"/>
      <c r="R56">
        <f t="shared" si="32"/>
        <v>2009</v>
      </c>
      <c r="S56" s="2">
        <f t="shared" si="59"/>
        <v>53056.613647236096</v>
      </c>
      <c r="T56" s="2"/>
      <c r="U56" s="2">
        <f t="shared" si="60"/>
        <v>58963.410015079062</v>
      </c>
      <c r="V56" s="2">
        <f t="shared" si="60"/>
        <v>27915.295278250625</v>
      </c>
      <c r="W56" s="2"/>
      <c r="X56" s="2">
        <f t="shared" si="61"/>
        <v>57461.324779054892</v>
      </c>
      <c r="Y56" s="2">
        <f t="shared" si="61"/>
        <v>66999.63056885259</v>
      </c>
      <c r="Z56" s="2">
        <f t="shared" si="48"/>
        <v>264396.27428847324</v>
      </c>
      <c r="AA56" s="2">
        <f>Z56-Z55</f>
        <v>49259.460191628517</v>
      </c>
      <c r="AB56" s="6">
        <f>(AA56/Z55)</f>
        <v>0.22896806573260012</v>
      </c>
      <c r="AC56" s="7">
        <f t="shared" si="36"/>
        <v>1.2289680657326001</v>
      </c>
      <c r="AD56" s="2">
        <f t="shared" si="49"/>
        <v>0</v>
      </c>
      <c r="AE56" s="2"/>
      <c r="AG56">
        <f t="shared" si="14"/>
        <v>2009</v>
      </c>
      <c r="AH56" s="6">
        <f t="shared" si="53"/>
        <v>0.20067080668976423</v>
      </c>
      <c r="AI56" s="7"/>
      <c r="AJ56" s="6">
        <f t="shared" si="54"/>
        <v>0.22301150110287185</v>
      </c>
      <c r="AK56" s="6">
        <f t="shared" si="55"/>
        <v>0.1055812732360716</v>
      </c>
      <c r="AL56" s="7"/>
      <c r="AM56" s="6">
        <f t="shared" si="65"/>
        <v>0.21733031198601879</v>
      </c>
      <c r="AN56" s="6">
        <f t="shared" si="15"/>
        <v>0.2534061069852736</v>
      </c>
      <c r="AO56" s="6">
        <f t="shared" si="37"/>
        <v>1</v>
      </c>
      <c r="AP56" s="7">
        <f t="shared" si="38"/>
        <v>0.74659389301472645</v>
      </c>
      <c r="AQ56" s="7">
        <f t="shared" si="39"/>
        <v>0</v>
      </c>
      <c r="AR56" s="7"/>
      <c r="AS56">
        <f t="shared" si="40"/>
        <v>2009</v>
      </c>
      <c r="AT56" s="2">
        <f>S56</f>
        <v>53056.613647236096</v>
      </c>
      <c r="AU56" s="2"/>
      <c r="AV56" s="2">
        <f t="shared" ref="AV56:AW59" si="66">U56</f>
        <v>58963.410015079062</v>
      </c>
      <c r="AW56" s="2">
        <f t="shared" si="66"/>
        <v>27915.295278250625</v>
      </c>
      <c r="AX56" s="2"/>
      <c r="AY56" s="2">
        <f t="shared" ref="AY56:AZ59" si="67">X56</f>
        <v>57461.324779054892</v>
      </c>
      <c r="AZ56" s="2">
        <f t="shared" si="67"/>
        <v>66999.63056885259</v>
      </c>
      <c r="BA56" s="2">
        <f t="shared" si="64"/>
        <v>264396.27428847324</v>
      </c>
      <c r="BB56" s="2">
        <f t="shared" si="21"/>
        <v>0</v>
      </c>
      <c r="BC56" s="2"/>
      <c r="BM56" s="24"/>
      <c r="BN56">
        <f t="shared" si="5"/>
        <v>2009</v>
      </c>
      <c r="BO56" s="1" t="b">
        <f t="shared" si="41"/>
        <v>1</v>
      </c>
      <c r="BQ56" s="1" t="b">
        <f t="shared" si="62"/>
        <v>1</v>
      </c>
      <c r="BR56" s="1" t="b">
        <f t="shared" si="63"/>
        <v>1</v>
      </c>
      <c r="BT56" s="1" t="b">
        <f t="shared" si="50"/>
        <v>1</v>
      </c>
      <c r="BU56" s="1" t="b">
        <f t="shared" si="43"/>
        <v>1</v>
      </c>
      <c r="BV56" s="1" t="b">
        <f t="shared" si="44"/>
        <v>1</v>
      </c>
      <c r="CH56" s="2"/>
    </row>
    <row r="57" spans="1:86" x14ac:dyDescent="0.25">
      <c r="A57">
        <f t="shared" si="9"/>
        <v>2010</v>
      </c>
      <c r="B57" s="2">
        <f t="shared" si="52"/>
        <v>60967.354742038995</v>
      </c>
      <c r="C57" s="2"/>
      <c r="D57" s="2">
        <f t="shared" si="57"/>
        <v>73975.494204918185</v>
      </c>
      <c r="E57" s="2">
        <f t="shared" si="58"/>
        <v>35653.415129381705</v>
      </c>
      <c r="F57" s="2"/>
      <c r="G57" s="2">
        <f t="shared" si="51"/>
        <v>63851.024094485794</v>
      </c>
      <c r="H57" s="2">
        <f t="shared" si="26"/>
        <v>71301.006851372935</v>
      </c>
      <c r="I57" s="2">
        <f t="shared" si="45"/>
        <v>305748.29502219759</v>
      </c>
      <c r="J57" s="2">
        <f t="shared" si="27"/>
        <v>34508.532818805892</v>
      </c>
      <c r="K57" s="6">
        <f t="shared" si="28"/>
        <v>0.12722519935307031</v>
      </c>
      <c r="L57" s="7">
        <f t="shared" si="29"/>
        <v>1.1272251993530702</v>
      </c>
      <c r="N57">
        <f t="shared" si="30"/>
        <v>2010</v>
      </c>
      <c r="O57" s="2">
        <f t="shared" si="31"/>
        <v>7035.1055765361771</v>
      </c>
      <c r="P57" s="2"/>
      <c r="Q57" s="2"/>
      <c r="R57">
        <f t="shared" si="32"/>
        <v>2010</v>
      </c>
      <c r="S57" s="2">
        <f t="shared" si="59"/>
        <v>59560.333626731757</v>
      </c>
      <c r="T57" s="2"/>
      <c r="U57" s="2">
        <f t="shared" si="60"/>
        <v>72568.473089610954</v>
      </c>
      <c r="V57" s="2">
        <f t="shared" si="60"/>
        <v>34246.394014074467</v>
      </c>
      <c r="W57" s="2"/>
      <c r="X57" s="2">
        <f t="shared" si="61"/>
        <v>62444.002979178556</v>
      </c>
      <c r="Y57" s="2">
        <f t="shared" si="61"/>
        <v>69893.985736065704</v>
      </c>
      <c r="Z57" s="2">
        <f t="shared" si="48"/>
        <v>298713.18944566144</v>
      </c>
      <c r="AA57" s="2">
        <f t="shared" ref="AA57:AA64" si="68">Z57-Z56</f>
        <v>34316.915157188196</v>
      </c>
      <c r="AB57" s="6">
        <f t="shared" ref="AB57:AB64" si="69">(AA57/Z56)</f>
        <v>0.12979348990275955</v>
      </c>
      <c r="AC57" s="7">
        <f t="shared" si="36"/>
        <v>1.1297934899027595</v>
      </c>
      <c r="AD57" s="2">
        <f t="shared" si="49"/>
        <v>0</v>
      </c>
      <c r="AE57" s="2"/>
      <c r="AG57">
        <f t="shared" si="14"/>
        <v>2010</v>
      </c>
      <c r="AH57" s="6">
        <f t="shared" si="53"/>
        <v>0.1993897013294296</v>
      </c>
      <c r="AI57" s="7"/>
      <c r="AJ57" s="6">
        <f t="shared" si="54"/>
        <v>0.24293695643061586</v>
      </c>
      <c r="AK57" s="6">
        <f t="shared" si="55"/>
        <v>0.11464640740379557</v>
      </c>
      <c r="AL57" s="7"/>
      <c r="AM57" s="6">
        <f t="shared" si="65"/>
        <v>0.20904334052024734</v>
      </c>
      <c r="AN57" s="6">
        <f t="shared" si="15"/>
        <v>0.23398359431591165</v>
      </c>
      <c r="AO57" s="6">
        <f t="shared" si="37"/>
        <v>1</v>
      </c>
      <c r="AP57" s="7">
        <f t="shared" si="38"/>
        <v>0.76601640568408835</v>
      </c>
      <c r="AQ57" s="7">
        <f t="shared" si="39"/>
        <v>0</v>
      </c>
      <c r="AR57" s="7"/>
      <c r="AS57">
        <f t="shared" si="40"/>
        <v>2010</v>
      </c>
      <c r="AT57" s="2">
        <f>S57</f>
        <v>59560.333626731757</v>
      </c>
      <c r="AU57" s="2"/>
      <c r="AV57" s="2">
        <f t="shared" si="66"/>
        <v>72568.473089610954</v>
      </c>
      <c r="AW57" s="2">
        <f t="shared" si="66"/>
        <v>34246.394014074467</v>
      </c>
      <c r="AX57" s="2"/>
      <c r="AY57" s="2">
        <f t="shared" si="67"/>
        <v>62444.002979178556</v>
      </c>
      <c r="AZ57" s="2">
        <f t="shared" si="67"/>
        <v>69893.985736065704</v>
      </c>
      <c r="BA57" s="2">
        <f t="shared" si="64"/>
        <v>298713.18944566144</v>
      </c>
      <c r="BB57" s="2">
        <f t="shared" si="21"/>
        <v>0</v>
      </c>
      <c r="BC57" s="2"/>
      <c r="BM57" s="24"/>
      <c r="BN57">
        <f t="shared" si="5"/>
        <v>2010</v>
      </c>
      <c r="BO57" s="1" t="b">
        <f t="shared" si="41"/>
        <v>1</v>
      </c>
      <c r="BQ57" s="1" t="b">
        <f t="shared" si="62"/>
        <v>1</v>
      </c>
      <c r="BR57" s="1" t="b">
        <f t="shared" si="63"/>
        <v>1</v>
      </c>
      <c r="BT57" s="1" t="b">
        <f t="shared" ref="BT57:BT66" si="70">AND((X57/$Z57)&gt;0.15,(X57/$Z57)&lt;0.25)</f>
        <v>1</v>
      </c>
      <c r="BU57" s="1" t="b">
        <f t="shared" si="43"/>
        <v>0</v>
      </c>
      <c r="BV57" s="1" t="b">
        <f t="shared" si="44"/>
        <v>1</v>
      </c>
      <c r="CH57" s="2"/>
    </row>
    <row r="58" spans="1:86" x14ac:dyDescent="0.25">
      <c r="A58">
        <f t="shared" si="9"/>
        <v>2011</v>
      </c>
      <c r="B58" s="2">
        <f t="shared" si="52"/>
        <v>60733.672199178378</v>
      </c>
      <c r="C58" s="2"/>
      <c r="D58" s="2">
        <f t="shared" si="57"/>
        <v>71037.278307420158</v>
      </c>
      <c r="E58" s="2">
        <f t="shared" si="58"/>
        <v>33287.494981680378</v>
      </c>
      <c r="F58" s="2"/>
      <c r="G58" s="2">
        <f t="shared" si="51"/>
        <v>53352.156145410161</v>
      </c>
      <c r="H58" s="2">
        <f t="shared" si="26"/>
        <v>75177.971057712275</v>
      </c>
      <c r="I58" s="2">
        <f t="shared" si="45"/>
        <v>293588.57269140135</v>
      </c>
      <c r="J58" s="2">
        <f t="shared" si="27"/>
        <v>-12159.722330796241</v>
      </c>
      <c r="K58" s="6">
        <f t="shared" si="28"/>
        <v>-3.9770368400299454E-2</v>
      </c>
      <c r="L58" s="7">
        <f t="shared" si="29"/>
        <v>0.96022963159970054</v>
      </c>
      <c r="N58">
        <f t="shared" si="30"/>
        <v>2011</v>
      </c>
      <c r="O58" s="2">
        <f t="shared" si="31"/>
        <v>7133.5970546076833</v>
      </c>
      <c r="P58" s="2"/>
      <c r="Q58" s="2"/>
      <c r="R58">
        <f t="shared" si="32"/>
        <v>2011</v>
      </c>
      <c r="S58" s="2">
        <f t="shared" si="59"/>
        <v>59306.952788256844</v>
      </c>
      <c r="T58" s="2"/>
      <c r="U58" s="2">
        <f t="shared" si="60"/>
        <v>69610.558896498624</v>
      </c>
      <c r="V58" s="2">
        <f t="shared" si="60"/>
        <v>31860.77557075884</v>
      </c>
      <c r="W58" s="2"/>
      <c r="X58" s="2">
        <f t="shared" si="61"/>
        <v>51925.436734488627</v>
      </c>
      <c r="Y58" s="2">
        <f t="shared" si="61"/>
        <v>73751.251646790741</v>
      </c>
      <c r="Z58" s="2">
        <f t="shared" si="48"/>
        <v>286454.97563679365</v>
      </c>
      <c r="AA58" s="2">
        <f t="shared" si="68"/>
        <v>-12258.213808867789</v>
      </c>
      <c r="AB58" s="6">
        <f t="shared" si="69"/>
        <v>-4.1036734372580042E-2</v>
      </c>
      <c r="AC58" s="7">
        <f t="shared" si="36"/>
        <v>0.95896326562741996</v>
      </c>
      <c r="AD58" s="2">
        <f t="shared" si="49"/>
        <v>0</v>
      </c>
      <c r="AE58" s="2"/>
      <c r="AG58">
        <f t="shared" si="14"/>
        <v>2011</v>
      </c>
      <c r="AH58" s="6">
        <f t="shared" si="53"/>
        <v>0.20703760741602276</v>
      </c>
      <c r="AI58" s="7"/>
      <c r="AJ58" s="6">
        <f t="shared" si="54"/>
        <v>0.24300698126033007</v>
      </c>
      <c r="AK58" s="6">
        <f t="shared" si="55"/>
        <v>0.1112243747902506</v>
      </c>
      <c r="AL58" s="7"/>
      <c r="AM58" s="6">
        <f t="shared" si="65"/>
        <v>0.18126910387594983</v>
      </c>
      <c r="AN58" s="6">
        <f t="shared" si="15"/>
        <v>0.25746193265744682</v>
      </c>
      <c r="AO58" s="6">
        <f t="shared" si="37"/>
        <v>1.0000000000000002</v>
      </c>
      <c r="AP58" s="7">
        <f t="shared" si="38"/>
        <v>0.74253806734255334</v>
      </c>
      <c r="AQ58" s="7">
        <f t="shared" si="39"/>
        <v>0</v>
      </c>
      <c r="AR58" s="7"/>
      <c r="AS58">
        <f t="shared" si="40"/>
        <v>2011</v>
      </c>
      <c r="AT58" s="2">
        <f>S58</f>
        <v>59306.952788256844</v>
      </c>
      <c r="AU58" s="2"/>
      <c r="AV58" s="2">
        <f t="shared" si="66"/>
        <v>69610.558896498624</v>
      </c>
      <c r="AW58" s="2">
        <f t="shared" si="66"/>
        <v>31860.77557075884</v>
      </c>
      <c r="AX58" s="2"/>
      <c r="AY58" s="2">
        <f t="shared" si="67"/>
        <v>51925.436734488627</v>
      </c>
      <c r="AZ58" s="2">
        <f t="shared" si="67"/>
        <v>73751.251646790741</v>
      </c>
      <c r="BA58" s="2">
        <f t="shared" si="64"/>
        <v>286454.97563679365</v>
      </c>
      <c r="BB58" s="2">
        <f t="shared" si="21"/>
        <v>0</v>
      </c>
      <c r="BC58" s="2"/>
      <c r="BM58" s="24"/>
      <c r="BN58">
        <f t="shared" si="5"/>
        <v>2011</v>
      </c>
      <c r="BO58" s="1" t="b">
        <f t="shared" si="41"/>
        <v>1</v>
      </c>
      <c r="BQ58" s="1" t="b">
        <f t="shared" si="62"/>
        <v>1</v>
      </c>
      <c r="BR58" s="1" t="b">
        <f t="shared" si="63"/>
        <v>1</v>
      </c>
      <c r="BT58" s="28" t="b">
        <f t="shared" si="70"/>
        <v>1</v>
      </c>
      <c r="BU58" s="28" t="b">
        <f t="shared" si="43"/>
        <v>1</v>
      </c>
      <c r="BV58" s="1" t="b">
        <f t="shared" si="44"/>
        <v>1</v>
      </c>
      <c r="CH58" s="2"/>
    </row>
    <row r="59" spans="1:86" x14ac:dyDescent="0.25">
      <c r="A59">
        <f t="shared" si="9"/>
        <v>2012</v>
      </c>
      <c r="B59" s="2">
        <f t="shared" si="52"/>
        <v>68689.312719359077</v>
      </c>
      <c r="C59" s="2"/>
      <c r="D59" s="2">
        <f t="shared" si="57"/>
        <v>80609.0272021454</v>
      </c>
      <c r="E59" s="2">
        <f t="shared" si="58"/>
        <v>37608.459483723738</v>
      </c>
      <c r="F59" s="2"/>
      <c r="G59" s="2">
        <f t="shared" si="51"/>
        <v>61344.710958124866</v>
      </c>
      <c r="H59" s="2">
        <f t="shared" si="26"/>
        <v>76738.177338485766</v>
      </c>
      <c r="I59" s="2">
        <f t="shared" si="45"/>
        <v>324989.68770183885</v>
      </c>
      <c r="J59" s="2">
        <f t="shared" si="27"/>
        <v>31401.115010437497</v>
      </c>
      <c r="K59" s="6">
        <f t="shared" si="28"/>
        <v>0.10695618948167997</v>
      </c>
      <c r="L59" s="7">
        <f t="shared" si="29"/>
        <v>1.10695618948168</v>
      </c>
      <c r="N59">
        <f t="shared" si="30"/>
        <v>2012</v>
      </c>
      <c r="O59" s="2">
        <f t="shared" si="31"/>
        <v>7347.6049662459136</v>
      </c>
      <c r="P59" s="2"/>
      <c r="Q59" s="2"/>
      <c r="R59">
        <f t="shared" si="32"/>
        <v>2012</v>
      </c>
      <c r="S59" s="2">
        <f t="shared" si="59"/>
        <v>67219.791726109892</v>
      </c>
      <c r="T59" s="2"/>
      <c r="U59" s="2">
        <f t="shared" si="60"/>
        <v>79139.506208896215</v>
      </c>
      <c r="V59" s="2">
        <f t="shared" si="60"/>
        <v>36138.938490474553</v>
      </c>
      <c r="W59" s="2"/>
      <c r="X59" s="2">
        <f t="shared" si="61"/>
        <v>59875.189964875681</v>
      </c>
      <c r="Y59" s="2">
        <f t="shared" si="61"/>
        <v>75268.656345236581</v>
      </c>
      <c r="Z59" s="2">
        <f t="shared" si="48"/>
        <v>317642.08273559291</v>
      </c>
      <c r="AA59" s="2">
        <f t="shared" si="68"/>
        <v>31187.107098799257</v>
      </c>
      <c r="AB59" s="6">
        <f t="shared" si="69"/>
        <v>0.10887263183147668</v>
      </c>
      <c r="AC59" s="7">
        <f t="shared" si="36"/>
        <v>1.1088726318314768</v>
      </c>
      <c r="AD59" s="2">
        <f t="shared" si="49"/>
        <v>0</v>
      </c>
      <c r="AE59" s="2"/>
      <c r="AG59">
        <f t="shared" si="14"/>
        <v>2012</v>
      </c>
      <c r="AH59" s="6">
        <f t="shared" si="53"/>
        <v>0.21162117798498392</v>
      </c>
      <c r="AI59" s="7"/>
      <c r="AJ59" s="6">
        <f t="shared" si="54"/>
        <v>0.24914679291651792</v>
      </c>
      <c r="AK59" s="6">
        <f t="shared" si="55"/>
        <v>0.11377251458383369</v>
      </c>
      <c r="AL59" s="7"/>
      <c r="AM59" s="6">
        <f t="shared" si="65"/>
        <v>0.18849892133063531</v>
      </c>
      <c r="AN59" s="6">
        <f t="shared" si="15"/>
        <v>0.23696059318402921</v>
      </c>
      <c r="AO59" s="6">
        <f t="shared" si="37"/>
        <v>1</v>
      </c>
      <c r="AP59" s="7">
        <f t="shared" si="38"/>
        <v>0.76303940681597082</v>
      </c>
      <c r="AQ59" s="7">
        <f t="shared" si="39"/>
        <v>0</v>
      </c>
      <c r="AR59" s="7"/>
      <c r="AS59">
        <f t="shared" si="40"/>
        <v>2012</v>
      </c>
      <c r="AT59" s="2">
        <f>S59</f>
        <v>67219.791726109892</v>
      </c>
      <c r="AU59" s="2"/>
      <c r="AV59" s="2">
        <f t="shared" si="66"/>
        <v>79139.506208896215</v>
      </c>
      <c r="AW59" s="2">
        <f t="shared" si="66"/>
        <v>36138.938490474553</v>
      </c>
      <c r="AX59" s="2"/>
      <c r="AY59" s="2">
        <f t="shared" si="67"/>
        <v>59875.189964875681</v>
      </c>
      <c r="AZ59" s="2">
        <f t="shared" si="67"/>
        <v>75268.656345236581</v>
      </c>
      <c r="BA59" s="2">
        <f t="shared" si="64"/>
        <v>317642.08273559291</v>
      </c>
      <c r="BB59" s="2">
        <f t="shared" si="21"/>
        <v>0</v>
      </c>
      <c r="BC59" s="2"/>
      <c r="BM59" s="24"/>
      <c r="BN59">
        <f t="shared" si="5"/>
        <v>2012</v>
      </c>
      <c r="BO59" s="1" t="b">
        <f t="shared" si="41"/>
        <v>1</v>
      </c>
      <c r="BQ59" s="1" t="b">
        <f t="shared" si="62"/>
        <v>1</v>
      </c>
      <c r="BR59" s="1" t="b">
        <f t="shared" si="63"/>
        <v>1</v>
      </c>
      <c r="BT59" s="1" t="b">
        <f t="shared" si="70"/>
        <v>1</v>
      </c>
      <c r="BU59" s="1" t="b">
        <f t="shared" si="43"/>
        <v>0</v>
      </c>
      <c r="BV59" s="1" t="b">
        <f t="shared" si="44"/>
        <v>1</v>
      </c>
      <c r="CH59" s="2"/>
    </row>
    <row r="60" spans="1:86" x14ac:dyDescent="0.25">
      <c r="A60">
        <f t="shared" si="9"/>
        <v>2013</v>
      </c>
      <c r="B60" s="2">
        <f t="shared" si="52"/>
        <v>88851.120703572058</v>
      </c>
      <c r="C60" s="2"/>
      <c r="D60" s="2">
        <f t="shared" si="57"/>
        <v>106838.33338200989</v>
      </c>
      <c r="E60" s="2">
        <f t="shared" si="58"/>
        <v>49734.407150591076</v>
      </c>
      <c r="F60" s="2"/>
      <c r="G60" s="2">
        <f t="shared" si="51"/>
        <v>68880.41853559298</v>
      </c>
      <c r="H60" s="2">
        <f t="shared" si="26"/>
        <v>73567.584711834235</v>
      </c>
      <c r="I60" s="2">
        <f t="shared" si="45"/>
        <v>387871.86448360025</v>
      </c>
      <c r="J60" s="2">
        <f t="shared" si="27"/>
        <v>62882.176781761402</v>
      </c>
      <c r="K60" s="6">
        <f t="shared" si="28"/>
        <v>0.19348976032572618</v>
      </c>
      <c r="L60" s="7">
        <f t="shared" si="29"/>
        <v>1.1934897603257262</v>
      </c>
      <c r="N60">
        <f t="shared" si="30"/>
        <v>2013</v>
      </c>
      <c r="O60" s="2">
        <f t="shared" si="31"/>
        <v>7479.8618556383399</v>
      </c>
      <c r="P60" s="2"/>
      <c r="Q60" s="2"/>
      <c r="R60">
        <f t="shared" si="32"/>
        <v>2013</v>
      </c>
      <c r="S60" s="2">
        <f t="shared" si="59"/>
        <v>87355.148332444383</v>
      </c>
      <c r="T60" s="2"/>
      <c r="U60" s="2">
        <f t="shared" si="60"/>
        <v>105342.36101088222</v>
      </c>
      <c r="V60" s="2">
        <f t="shared" si="60"/>
        <v>48238.434779463409</v>
      </c>
      <c r="W60" s="2"/>
      <c r="X60" s="2">
        <f t="shared" si="61"/>
        <v>67384.446164465306</v>
      </c>
      <c r="Y60" s="2">
        <f t="shared" si="61"/>
        <v>72071.612340706561</v>
      </c>
      <c r="Z60" s="2">
        <f t="shared" si="48"/>
        <v>380392.00262796186</v>
      </c>
      <c r="AA60" s="2">
        <f t="shared" si="68"/>
        <v>62749.919892368955</v>
      </c>
      <c r="AB60" s="6">
        <f t="shared" si="69"/>
        <v>0.19754913880413744</v>
      </c>
      <c r="AC60" s="7">
        <f t="shared" si="36"/>
        <v>1.1975491388041375</v>
      </c>
      <c r="AD60" s="2">
        <f t="shared" si="49"/>
        <v>0</v>
      </c>
      <c r="AE60" s="2"/>
      <c r="AG60">
        <f t="shared" si="14"/>
        <v>2013</v>
      </c>
      <c r="AH60" s="6">
        <f t="shared" si="53"/>
        <v>0.22964507068746423</v>
      </c>
      <c r="AI60" s="7"/>
      <c r="AJ60" s="6">
        <f t="shared" si="54"/>
        <v>0.27693106133440754</v>
      </c>
      <c r="AK60" s="6">
        <f t="shared" si="55"/>
        <v>0.12681243150803689</v>
      </c>
      <c r="AL60" s="7"/>
      <c r="AM60" s="6">
        <f t="shared" si="65"/>
        <v>0.17714474988678958</v>
      </c>
      <c r="AN60" s="6">
        <f t="shared" si="15"/>
        <v>0.18946668658330179</v>
      </c>
      <c r="AO60" s="6">
        <f t="shared" si="37"/>
        <v>1</v>
      </c>
      <c r="AP60" s="7">
        <f t="shared" si="38"/>
        <v>0.81053331341669832</v>
      </c>
      <c r="AQ60" s="7">
        <f t="shared" si="39"/>
        <v>0</v>
      </c>
      <c r="AR60" s="7"/>
      <c r="AS60">
        <f t="shared" si="40"/>
        <v>2013</v>
      </c>
      <c r="AT60" s="40">
        <v>0</v>
      </c>
      <c r="AU60" s="40"/>
      <c r="AV60" s="40">
        <v>0</v>
      </c>
      <c r="AW60" s="40">
        <v>0</v>
      </c>
      <c r="AX60" s="40"/>
      <c r="AY60" s="40">
        <v>0</v>
      </c>
      <c r="AZ60" s="40">
        <f>Z60</f>
        <v>380392.00262796186</v>
      </c>
      <c r="BA60" s="2">
        <f t="shared" si="64"/>
        <v>380392.00262796186</v>
      </c>
      <c r="BB60" s="2">
        <f t="shared" si="21"/>
        <v>0</v>
      </c>
      <c r="BC60" s="2"/>
      <c r="BM60" s="24"/>
      <c r="BN60">
        <f t="shared" si="5"/>
        <v>2013</v>
      </c>
      <c r="BO60" s="1" t="b">
        <f t="shared" si="41"/>
        <v>1</v>
      </c>
      <c r="BQ60" s="1" t="b">
        <f t="shared" si="62"/>
        <v>0</v>
      </c>
      <c r="BR60" s="1" t="b">
        <f t="shared" si="63"/>
        <v>1</v>
      </c>
      <c r="BT60" s="1" t="b">
        <f t="shared" si="70"/>
        <v>1</v>
      </c>
      <c r="BU60" s="28" t="b">
        <f t="shared" si="43"/>
        <v>0</v>
      </c>
      <c r="BV60" s="1" t="b">
        <f t="shared" si="44"/>
        <v>1</v>
      </c>
      <c r="CH60" s="2"/>
    </row>
    <row r="61" spans="1:86" x14ac:dyDescent="0.25">
      <c r="A61">
        <f t="shared" si="9"/>
        <v>2014</v>
      </c>
      <c r="B61" s="2">
        <f t="shared" si="52"/>
        <v>0</v>
      </c>
      <c r="C61" s="2"/>
      <c r="D61" s="2">
        <f t="shared" si="57"/>
        <v>0</v>
      </c>
      <c r="E61" s="2">
        <f t="shared" si="58"/>
        <v>0</v>
      </c>
      <c r="F61" s="2"/>
      <c r="G61" s="2">
        <f t="shared" si="51"/>
        <v>0</v>
      </c>
      <c r="H61" s="2">
        <f t="shared" si="26"/>
        <v>402302.58197933249</v>
      </c>
      <c r="I61" s="2">
        <f t="shared" si="45"/>
        <v>402302.58197933249</v>
      </c>
      <c r="J61" s="2">
        <f t="shared" si="27"/>
        <v>14430.717495732242</v>
      </c>
      <c r="K61" s="6">
        <f t="shared" si="28"/>
        <v>3.720485762726003E-2</v>
      </c>
      <c r="L61" s="7">
        <f t="shared" si="29"/>
        <v>1.0372048576272601</v>
      </c>
      <c r="N61">
        <f t="shared" si="30"/>
        <v>2014</v>
      </c>
      <c r="O61" s="2">
        <f t="shared" si="31"/>
        <v>7566.298518813901</v>
      </c>
      <c r="P61" s="2"/>
      <c r="Q61" s="2"/>
      <c r="R61">
        <f t="shared" si="32"/>
        <v>2014</v>
      </c>
      <c r="S61" s="40">
        <v>0</v>
      </c>
      <c r="T61" s="40"/>
      <c r="U61" s="40">
        <v>0</v>
      </c>
      <c r="V61" s="40">
        <v>0</v>
      </c>
      <c r="W61" s="40"/>
      <c r="X61" s="40">
        <v>0</v>
      </c>
      <c r="Y61" s="40">
        <f>H61-($O61)</f>
        <v>394736.28346051858</v>
      </c>
      <c r="Z61" s="2">
        <f t="shared" si="48"/>
        <v>394736.28346051858</v>
      </c>
      <c r="AA61" s="2">
        <f t="shared" si="68"/>
        <v>14344.280832556717</v>
      </c>
      <c r="AB61" s="6">
        <f t="shared" si="69"/>
        <v>3.7709207169073895E-2</v>
      </c>
      <c r="AC61" s="7">
        <f t="shared" si="36"/>
        <v>1.0377092071690739</v>
      </c>
      <c r="AD61" s="2">
        <f t="shared" si="49"/>
        <v>0</v>
      </c>
      <c r="AE61" s="2"/>
      <c r="AG61">
        <f t="shared" si="14"/>
        <v>2014</v>
      </c>
      <c r="AH61" s="38">
        <f t="shared" si="53"/>
        <v>0</v>
      </c>
      <c r="AI61" s="61"/>
      <c r="AJ61" s="38">
        <f t="shared" si="54"/>
        <v>0</v>
      </c>
      <c r="AK61" s="38">
        <f t="shared" si="55"/>
        <v>0</v>
      </c>
      <c r="AL61" s="61"/>
      <c r="AM61" s="38">
        <f t="shared" si="65"/>
        <v>0</v>
      </c>
      <c r="AN61" s="38">
        <f t="shared" si="15"/>
        <v>1</v>
      </c>
      <c r="AO61" s="6">
        <f t="shared" si="37"/>
        <v>1</v>
      </c>
      <c r="AP61" s="7">
        <f t="shared" si="38"/>
        <v>0</v>
      </c>
      <c r="AQ61" s="7">
        <f t="shared" si="39"/>
        <v>0</v>
      </c>
      <c r="AR61" s="7"/>
      <c r="AS61">
        <f t="shared" si="40"/>
        <v>2014</v>
      </c>
      <c r="AT61" s="40">
        <f>$Z61*AT$39</f>
        <v>78947.256692103721</v>
      </c>
      <c r="AU61" s="40"/>
      <c r="AV61" s="40">
        <f>$Z61*AV$39</f>
        <v>78947.256692103721</v>
      </c>
      <c r="AW61" s="40">
        <f>$Z61*AW$39</f>
        <v>39473.628346051861</v>
      </c>
      <c r="AX61" s="40"/>
      <c r="AY61" s="40">
        <f>$Z61*AY$39</f>
        <v>78947.256692103721</v>
      </c>
      <c r="AZ61" s="40">
        <f>$Z61*AZ$39</f>
        <v>118420.88503815557</v>
      </c>
      <c r="BA61" s="2">
        <f t="shared" si="64"/>
        <v>394736.28346051858</v>
      </c>
      <c r="BB61" s="2">
        <f t="shared" si="21"/>
        <v>0</v>
      </c>
      <c r="BC61" s="2"/>
      <c r="BM61" s="24"/>
      <c r="BN61">
        <f t="shared" si="5"/>
        <v>2014</v>
      </c>
      <c r="BO61" s="1" t="b">
        <f t="shared" si="41"/>
        <v>0</v>
      </c>
      <c r="BQ61" s="1" t="b">
        <f t="shared" si="62"/>
        <v>0</v>
      </c>
      <c r="BR61" s="1" t="b">
        <f t="shared" si="63"/>
        <v>0</v>
      </c>
      <c r="BT61" s="1" t="b">
        <f t="shared" si="70"/>
        <v>0</v>
      </c>
      <c r="BU61" s="1" t="b">
        <f t="shared" si="43"/>
        <v>0</v>
      </c>
      <c r="BV61" s="1" t="b">
        <f t="shared" si="44"/>
        <v>1</v>
      </c>
      <c r="CH61" s="2"/>
    </row>
    <row r="62" spans="1:86" x14ac:dyDescent="0.25">
      <c r="A62">
        <f t="shared" si="9"/>
        <v>2015</v>
      </c>
      <c r="B62" s="2">
        <f t="shared" si="52"/>
        <v>79934.09740075501</v>
      </c>
      <c r="C62" s="2"/>
      <c r="D62" s="2">
        <f t="shared" si="57"/>
        <v>77794.626744399007</v>
      </c>
      <c r="E62" s="2">
        <f t="shared" si="58"/>
        <v>37981.525194571099</v>
      </c>
      <c r="F62" s="2"/>
      <c r="G62" s="2">
        <f t="shared" si="51"/>
        <v>75497.261574658798</v>
      </c>
      <c r="H62" s="2">
        <f t="shared" si="26"/>
        <v>118776.14769327002</v>
      </c>
      <c r="I62" s="2">
        <f t="shared" si="45"/>
        <v>389983.65860765392</v>
      </c>
      <c r="J62" s="2">
        <f t="shared" si="27"/>
        <v>-12318.923371678567</v>
      </c>
      <c r="K62" s="6">
        <f t="shared" si="28"/>
        <v>-3.0621039793156057E-2</v>
      </c>
      <c r="L62" s="7">
        <f t="shared" si="29"/>
        <v>0.96937896020684389</v>
      </c>
      <c r="N62">
        <f t="shared" si="30"/>
        <v>2015</v>
      </c>
      <c r="O62" s="2">
        <f t="shared" si="31"/>
        <v>7663.9037697065996</v>
      </c>
      <c r="P62" s="2"/>
      <c r="Q62" s="2"/>
      <c r="R62">
        <f t="shared" si="32"/>
        <v>2015</v>
      </c>
      <c r="S62" s="2">
        <f t="shared" si="59"/>
        <v>78401.316646813691</v>
      </c>
      <c r="T62" s="2"/>
      <c r="U62" s="2">
        <f t="shared" si="60"/>
        <v>76261.845990457688</v>
      </c>
      <c r="V62" s="2">
        <f t="shared" si="60"/>
        <v>36448.74444062978</v>
      </c>
      <c r="W62" s="2"/>
      <c r="X62" s="2">
        <f t="shared" si="61"/>
        <v>73964.480820717479</v>
      </c>
      <c r="Y62" s="2">
        <f t="shared" si="61"/>
        <v>117243.3669393287</v>
      </c>
      <c r="Z62" s="2">
        <f t="shared" si="48"/>
        <v>382319.75483794732</v>
      </c>
      <c r="AA62" s="2">
        <f t="shared" si="68"/>
        <v>-12416.528622571263</v>
      </c>
      <c r="AB62" s="6">
        <f t="shared" si="69"/>
        <v>-3.1455250360366636E-2</v>
      </c>
      <c r="AC62" s="7">
        <f t="shared" si="36"/>
        <v>0.96854474963963333</v>
      </c>
      <c r="AD62" s="2">
        <f t="shared" si="49"/>
        <v>0</v>
      </c>
      <c r="AE62" s="2"/>
      <c r="AG62">
        <f t="shared" si="14"/>
        <v>2015</v>
      </c>
      <c r="AH62" s="6">
        <f t="shared" si="53"/>
        <v>0.20506739621667056</v>
      </c>
      <c r="AI62" s="7"/>
      <c r="AJ62" s="6">
        <f t="shared" si="54"/>
        <v>0.19947137186981762</v>
      </c>
      <c r="AK62" s="6">
        <f t="shared" si="55"/>
        <v>9.5335760131147806E-2</v>
      </c>
      <c r="AL62" s="7"/>
      <c r="AM62" s="6">
        <f t="shared" si="65"/>
        <v>0.19346235679625964</v>
      </c>
      <c r="AN62" s="6">
        <f t="shared" si="15"/>
        <v>0.30666311498610443</v>
      </c>
      <c r="AO62" s="6">
        <f t="shared" si="37"/>
        <v>1</v>
      </c>
      <c r="AP62" s="7">
        <f t="shared" si="38"/>
        <v>0.69333688501389557</v>
      </c>
      <c r="AQ62" s="7">
        <f t="shared" si="39"/>
        <v>0</v>
      </c>
      <c r="AR62" s="7"/>
      <c r="AS62">
        <f t="shared" si="40"/>
        <v>2015</v>
      </c>
      <c r="AT62" s="2">
        <f>S62</f>
        <v>78401.316646813691</v>
      </c>
      <c r="AU62" s="2"/>
      <c r="AV62" s="2">
        <f t="shared" ref="AV62:AW62" si="71">U62</f>
        <v>76261.845990457688</v>
      </c>
      <c r="AW62" s="2">
        <f t="shared" si="71"/>
        <v>36448.74444062978</v>
      </c>
      <c r="AX62" s="2"/>
      <c r="AY62" s="2">
        <f t="shared" ref="AY62:AZ62" si="72">X62</f>
        <v>73964.480820717479</v>
      </c>
      <c r="AZ62" s="2">
        <f t="shared" si="72"/>
        <v>117243.3669393287</v>
      </c>
      <c r="BA62" s="2">
        <f t="shared" si="64"/>
        <v>382319.75483794732</v>
      </c>
      <c r="BB62" s="2">
        <f t="shared" si="21"/>
        <v>0</v>
      </c>
      <c r="BC62" s="2"/>
      <c r="BM62" s="24"/>
      <c r="BN62">
        <f t="shared" si="5"/>
        <v>2015</v>
      </c>
      <c r="BO62" s="1" t="b">
        <f t="shared" si="41"/>
        <v>1</v>
      </c>
      <c r="BQ62" s="1" t="b">
        <f t="shared" si="62"/>
        <v>1</v>
      </c>
      <c r="BR62" s="1" t="b">
        <f t="shared" si="63"/>
        <v>1</v>
      </c>
      <c r="BT62" s="1" t="b">
        <f t="shared" si="70"/>
        <v>1</v>
      </c>
      <c r="BU62" s="28" t="b">
        <f t="shared" si="43"/>
        <v>1</v>
      </c>
      <c r="BV62" s="1" t="b">
        <f t="shared" si="44"/>
        <v>1</v>
      </c>
      <c r="CH62" s="2"/>
    </row>
    <row r="63" spans="1:86" x14ac:dyDescent="0.25">
      <c r="A63">
        <f t="shared" si="9"/>
        <v>2016</v>
      </c>
      <c r="B63" s="2">
        <f t="shared" si="52"/>
        <v>87668.352274467077</v>
      </c>
      <c r="C63" s="2"/>
      <c r="D63" s="2">
        <f t="shared" si="57"/>
        <v>84704.032341601356</v>
      </c>
      <c r="E63" s="2">
        <f t="shared" si="58"/>
        <v>43071.481305492212</v>
      </c>
      <c r="F63" s="2"/>
      <c r="G63" s="2">
        <f t="shared" si="51"/>
        <v>77403.829178880842</v>
      </c>
      <c r="H63" s="2">
        <f t="shared" si="26"/>
        <v>120174.4511128119</v>
      </c>
      <c r="I63" s="2">
        <f t="shared" si="45"/>
        <v>413022.14621325344</v>
      </c>
      <c r="J63" s="2">
        <f t="shared" si="27"/>
        <v>23038.487605599512</v>
      </c>
      <c r="K63" s="6">
        <f t="shared" si="28"/>
        <v>5.9075520466301282E-2</v>
      </c>
      <c r="L63" s="7">
        <f t="shared" si="29"/>
        <v>1.0590755204663014</v>
      </c>
      <c r="N63">
        <f t="shared" si="30"/>
        <v>2016</v>
      </c>
      <c r="O63" s="2">
        <f t="shared" si="31"/>
        <v>7697.6249462933083</v>
      </c>
      <c r="P63" s="2"/>
      <c r="Q63" s="2"/>
      <c r="R63">
        <f t="shared" si="32"/>
        <v>2016</v>
      </c>
      <c r="S63" s="2">
        <f t="shared" si="59"/>
        <v>86128.827285208419</v>
      </c>
      <c r="T63" s="2"/>
      <c r="U63" s="2">
        <f t="shared" si="60"/>
        <v>83164.507352342698</v>
      </c>
      <c r="V63" s="2">
        <f t="shared" si="60"/>
        <v>41531.956316233554</v>
      </c>
      <c r="W63" s="2"/>
      <c r="X63" s="2">
        <f t="shared" si="61"/>
        <v>75864.304189622184</v>
      </c>
      <c r="Y63" s="2">
        <f t="shared" si="61"/>
        <v>118634.92612355325</v>
      </c>
      <c r="Z63" s="2">
        <f t="shared" si="48"/>
        <v>405324.52126696007</v>
      </c>
      <c r="AA63" s="2">
        <f t="shared" si="68"/>
        <v>23004.766429012758</v>
      </c>
      <c r="AB63" s="6">
        <f t="shared" si="69"/>
        <v>6.017153478967812E-2</v>
      </c>
      <c r="AC63" s="7">
        <f t="shared" si="36"/>
        <v>1.0601715347896781</v>
      </c>
      <c r="AD63" s="2">
        <f t="shared" si="49"/>
        <v>0</v>
      </c>
      <c r="AE63" s="2"/>
      <c r="AG63">
        <f t="shared" si="14"/>
        <v>2016</v>
      </c>
      <c r="AH63" s="6">
        <f t="shared" si="53"/>
        <v>0.21249350277646079</v>
      </c>
      <c r="AI63" s="7"/>
      <c r="AJ63" s="6">
        <f t="shared" si="54"/>
        <v>0.2051800544718779</v>
      </c>
      <c r="AK63" s="6">
        <f t="shared" si="55"/>
        <v>0.10246593565672589</v>
      </c>
      <c r="AL63" s="7"/>
      <c r="AM63" s="6">
        <f t="shared" si="65"/>
        <v>0.18716929326774054</v>
      </c>
      <c r="AN63" s="6">
        <f t="shared" si="15"/>
        <v>0.29269121382719498</v>
      </c>
      <c r="AO63" s="6">
        <f t="shared" si="37"/>
        <v>1</v>
      </c>
      <c r="AP63" s="7">
        <f t="shared" si="38"/>
        <v>0.70730878617280513</v>
      </c>
      <c r="AQ63" s="7">
        <f t="shared" si="39"/>
        <v>0</v>
      </c>
      <c r="AR63" s="7"/>
      <c r="AS63">
        <f t="shared" si="40"/>
        <v>2016</v>
      </c>
      <c r="AT63" s="2">
        <f t="shared" ref="AT63:AT66" si="73">S63</f>
        <v>86128.827285208419</v>
      </c>
      <c r="AU63" s="2"/>
      <c r="AV63" s="2">
        <f t="shared" ref="AV63:AV66" si="74">U63</f>
        <v>83164.507352342698</v>
      </c>
      <c r="AW63" s="2">
        <f t="shared" ref="AW63:AW66" si="75">V63</f>
        <v>41531.956316233554</v>
      </c>
      <c r="AX63" s="2"/>
      <c r="AY63" s="2">
        <f t="shared" ref="AY63:AY66" si="76">X63</f>
        <v>75864.304189622184</v>
      </c>
      <c r="AZ63" s="2">
        <f t="shared" ref="AZ63:AZ66" si="77">Y63</f>
        <v>118634.92612355325</v>
      </c>
      <c r="BA63" s="2">
        <f t="shared" ref="BA63:BA66" si="78">Z63</f>
        <v>405324.52126696007</v>
      </c>
      <c r="BB63" s="2">
        <f t="shared" ref="BB63:BB66" si="79">SUM(AT63:AZ63)-Z63</f>
        <v>0</v>
      </c>
      <c r="BC63" s="2"/>
      <c r="BM63" s="24"/>
      <c r="BN63">
        <f t="shared" si="5"/>
        <v>2016</v>
      </c>
      <c r="BO63" s="1" t="b">
        <f t="shared" si="41"/>
        <v>1</v>
      </c>
      <c r="BQ63" s="1" t="b">
        <f t="shared" si="62"/>
        <v>1</v>
      </c>
      <c r="BR63" s="1" t="b">
        <f t="shared" si="63"/>
        <v>1</v>
      </c>
      <c r="BT63" s="1" t="b">
        <f t="shared" si="70"/>
        <v>1</v>
      </c>
      <c r="BU63" s="1" t="b">
        <f t="shared" si="43"/>
        <v>1</v>
      </c>
      <c r="BV63" s="1" t="b">
        <f t="shared" si="44"/>
        <v>1</v>
      </c>
      <c r="CH63" s="2"/>
    </row>
    <row r="64" spans="1:86" x14ac:dyDescent="0.25">
      <c r="A64">
        <f t="shared" si="9"/>
        <v>2017</v>
      </c>
      <c r="B64" s="2">
        <f t="shared" si="52"/>
        <v>104792.94415791308</v>
      </c>
      <c r="C64" s="2"/>
      <c r="D64" s="2">
        <f t="shared" si="57"/>
        <v>99464.750793401865</v>
      </c>
      <c r="E64" s="2">
        <f t="shared" si="58"/>
        <v>48218.60128314716</v>
      </c>
      <c r="F64" s="2"/>
      <c r="G64" s="2">
        <f t="shared" si="51"/>
        <v>96651.123537578664</v>
      </c>
      <c r="H64" s="2">
        <f t="shared" si="26"/>
        <v>122739.69456742819</v>
      </c>
      <c r="I64" s="2">
        <f t="shared" si="45"/>
        <v>471867.114339469</v>
      </c>
      <c r="J64" s="2">
        <f t="shared" si="27"/>
        <v>58844.968126215565</v>
      </c>
      <c r="K64" s="6">
        <f t="shared" si="28"/>
        <v>0.14247412315714536</v>
      </c>
      <c r="L64" s="7">
        <f t="shared" si="29"/>
        <v>1.1424741231571454</v>
      </c>
      <c r="N64">
        <f t="shared" si="30"/>
        <v>2017</v>
      </c>
      <c r="O64" s="2">
        <f t="shared" si="31"/>
        <v>7828.4845703802939</v>
      </c>
      <c r="P64" s="2"/>
      <c r="Q64" s="2"/>
      <c r="R64">
        <f t="shared" si="32"/>
        <v>2017</v>
      </c>
      <c r="S64" s="2">
        <f t="shared" si="59"/>
        <v>103227.24724383702</v>
      </c>
      <c r="T64" s="2"/>
      <c r="U64" s="2">
        <f t="shared" si="60"/>
        <v>97899.053879325802</v>
      </c>
      <c r="V64" s="2">
        <f t="shared" si="60"/>
        <v>46652.904369071104</v>
      </c>
      <c r="W64" s="2"/>
      <c r="X64" s="2">
        <f t="shared" si="61"/>
        <v>95085.426623502601</v>
      </c>
      <c r="Y64" s="2">
        <f t="shared" si="61"/>
        <v>121173.99765335213</v>
      </c>
      <c r="Z64" s="2">
        <f t="shared" si="48"/>
        <v>464038.62976908858</v>
      </c>
      <c r="AA64" s="2">
        <f t="shared" si="68"/>
        <v>58714.108502128511</v>
      </c>
      <c r="AB64" s="6">
        <f t="shared" si="69"/>
        <v>0.14485703534195374</v>
      </c>
      <c r="AC64" s="7">
        <f t="shared" si="36"/>
        <v>1.1448570353419538</v>
      </c>
      <c r="AD64" s="2">
        <f t="shared" si="49"/>
        <v>0</v>
      </c>
      <c r="AE64" s="2"/>
      <c r="AG64">
        <f t="shared" si="14"/>
        <v>2017</v>
      </c>
      <c r="AH64" s="6">
        <f t="shared" si="53"/>
        <v>0.22245399546844663</v>
      </c>
      <c r="AI64" s="7"/>
      <c r="AJ64" s="6">
        <f t="shared" si="54"/>
        <v>0.21097177605244113</v>
      </c>
      <c r="AK64" s="6">
        <f t="shared" si="55"/>
        <v>0.10053668245741992</v>
      </c>
      <c r="AL64" s="7"/>
      <c r="AM64" s="6">
        <f t="shared" si="65"/>
        <v>0.20490842900475398</v>
      </c>
      <c r="AN64" s="6">
        <f t="shared" si="15"/>
        <v>0.26112911701693847</v>
      </c>
      <c r="AO64" s="6">
        <f t="shared" si="37"/>
        <v>1.0000000000000002</v>
      </c>
      <c r="AP64" s="7">
        <f t="shared" si="38"/>
        <v>0.73887088298306169</v>
      </c>
      <c r="AQ64" s="7">
        <f t="shared" si="39"/>
        <v>0</v>
      </c>
      <c r="AR64" s="7"/>
      <c r="AS64">
        <f t="shared" si="40"/>
        <v>2017</v>
      </c>
      <c r="AT64" s="2">
        <f t="shared" si="73"/>
        <v>103227.24724383702</v>
      </c>
      <c r="AU64" s="2"/>
      <c r="AV64" s="2">
        <f t="shared" si="74"/>
        <v>97899.053879325802</v>
      </c>
      <c r="AW64" s="2">
        <f t="shared" si="75"/>
        <v>46652.904369071104</v>
      </c>
      <c r="AX64" s="2"/>
      <c r="AY64" s="2">
        <f t="shared" si="76"/>
        <v>95085.426623502601</v>
      </c>
      <c r="AZ64" s="2">
        <f t="shared" si="77"/>
        <v>121173.99765335213</v>
      </c>
      <c r="BA64" s="2">
        <f t="shared" si="78"/>
        <v>464038.62976908858</v>
      </c>
      <c r="BB64" s="2">
        <f t="shared" si="79"/>
        <v>0</v>
      </c>
      <c r="BC64" s="2"/>
      <c r="BM64" s="24"/>
      <c r="BN64">
        <f t="shared" si="5"/>
        <v>2017</v>
      </c>
      <c r="BO64" s="1" t="b">
        <f t="shared" si="41"/>
        <v>1</v>
      </c>
      <c r="BQ64" s="1" t="b">
        <f t="shared" si="62"/>
        <v>1</v>
      </c>
      <c r="BR64" s="1" t="b">
        <f t="shared" si="63"/>
        <v>1</v>
      </c>
      <c r="BT64" s="1" t="b">
        <f t="shared" si="70"/>
        <v>1</v>
      </c>
      <c r="BU64" s="1" t="b">
        <f t="shared" si="43"/>
        <v>1</v>
      </c>
      <c r="BV64" s="1" t="b">
        <f t="shared" si="44"/>
        <v>1</v>
      </c>
      <c r="CH64" s="2"/>
    </row>
    <row r="65" spans="1:86" x14ac:dyDescent="0.25">
      <c r="A65">
        <f t="shared" si="9"/>
        <v>2017</v>
      </c>
      <c r="B65" s="2">
        <f t="shared" si="52"/>
        <v>125596.59172157649</v>
      </c>
      <c r="C65" s="2"/>
      <c r="D65" s="2">
        <f t="shared" ref="D65:E65" si="80">AV64*(1+(D29/100))</f>
        <v>117087.26843967366</v>
      </c>
      <c r="E65" s="2">
        <f t="shared" si="80"/>
        <v>54164.021972491551</v>
      </c>
      <c r="F65" s="2"/>
      <c r="G65" s="2">
        <f t="shared" ref="G65:H65" si="81">AY64*(1+(G29/100))</f>
        <v>121138.83351834232</v>
      </c>
      <c r="H65" s="2">
        <f t="shared" si="81"/>
        <v>125366.6179721581</v>
      </c>
      <c r="I65" s="2">
        <f t="shared" ref="I65:I66" si="82">SUM(B65:H65)</f>
        <v>543353.33362424222</v>
      </c>
      <c r="J65" s="2">
        <f t="shared" ref="J65:J66" si="83">I65-I64</f>
        <v>71486.219284773222</v>
      </c>
      <c r="K65" s="6">
        <f t="shared" ref="K65:K66" si="84">(J65/I64)</f>
        <v>0.15149650635188122</v>
      </c>
      <c r="L65" s="7">
        <f t="shared" ref="L65:L66" si="85">K65+1</f>
        <v>1.1514965063518812</v>
      </c>
      <c r="N65">
        <f t="shared" ref="N65:N66" si="86">A65</f>
        <v>2017</v>
      </c>
      <c r="O65" s="2">
        <f t="shared" si="31"/>
        <v>8003.0597762997741</v>
      </c>
      <c r="P65" s="2"/>
      <c r="Q65" s="2"/>
      <c r="R65">
        <f t="shared" ref="R65:R66" si="87">A65</f>
        <v>2017</v>
      </c>
      <c r="S65" s="2">
        <f t="shared" ref="S65:S66" si="88">B65-($O65/5)</f>
        <v>123995.97976631654</v>
      </c>
      <c r="T65" s="2"/>
      <c r="U65" s="2">
        <f t="shared" ref="U65:U66" si="89">D65-($O65/5)</f>
        <v>115486.6564844137</v>
      </c>
      <c r="V65" s="2">
        <f t="shared" ref="V65:V66" si="90">E65-($O65/5)</f>
        <v>52563.410017231596</v>
      </c>
      <c r="W65" s="2"/>
      <c r="X65" s="2">
        <f t="shared" ref="X65:X66" si="91">G65-($O65/5)</f>
        <v>119538.22156308236</v>
      </c>
      <c r="Y65" s="2">
        <f t="shared" ref="Y65:Y66" si="92">H65-($O65/5)</f>
        <v>123766.00601689814</v>
      </c>
      <c r="Z65" s="2">
        <f t="shared" ref="Z65:Z66" si="93">SUM(S65:Y65)</f>
        <v>535350.27384794236</v>
      </c>
      <c r="AA65" s="2">
        <f t="shared" ref="AA65:AA66" si="94">Z65-Z64</f>
        <v>71311.644078853773</v>
      </c>
      <c r="AB65" s="6">
        <f t="shared" ref="AB65:AB66" si="95">(AA65/Z64)</f>
        <v>0.15367609398023466</v>
      </c>
      <c r="AC65" s="7">
        <f t="shared" ref="AC65:AC66" si="96">AB65+1</f>
        <v>1.1536760939802346</v>
      </c>
      <c r="AD65" s="2">
        <f t="shared" ref="AD65:AD66" si="97">Z65-(I65-O65)</f>
        <v>0</v>
      </c>
      <c r="AE65" s="2"/>
      <c r="AG65">
        <f t="shared" ref="AG65:AG66" si="98">A65</f>
        <v>2017</v>
      </c>
      <c r="AH65" s="6">
        <f t="shared" ref="AH65:AH66" si="99">S65/$Z65</f>
        <v>0.23161654308135388</v>
      </c>
      <c r="AI65" s="7"/>
      <c r="AJ65" s="6">
        <f t="shared" ref="AJ65:AJ66" si="100">U65/$Z65</f>
        <v>0.21572167256837124</v>
      </c>
      <c r="AK65" s="6">
        <f t="shared" ref="AK65:AK66" si="101">V65/$Z65</f>
        <v>9.8185081030072258E-2</v>
      </c>
      <c r="AL65" s="7"/>
      <c r="AM65" s="6">
        <f t="shared" ref="AM65:AM66" si="102">X65/$Z65</f>
        <v>0.22328973646333702</v>
      </c>
      <c r="AN65" s="6">
        <f t="shared" ref="AN65:AN66" si="103">Y65/$Z65</f>
        <v>0.23118696685686554</v>
      </c>
      <c r="AO65" s="6">
        <f t="shared" ref="AO65:AO66" si="104">SUM(AH65:AN65)</f>
        <v>1</v>
      </c>
      <c r="AP65" s="7">
        <f t="shared" ref="AP65:AP66" si="105">SUM(AH65:AM65)</f>
        <v>0.76881303314313443</v>
      </c>
      <c r="AQ65" s="7">
        <f t="shared" ref="AQ65:AQ66" si="106">AO65-(AP65+AN65)</f>
        <v>0</v>
      </c>
      <c r="AR65" s="7"/>
      <c r="AS65">
        <f t="shared" si="40"/>
        <v>2017</v>
      </c>
      <c r="AT65" s="2">
        <f t="shared" si="73"/>
        <v>123995.97976631654</v>
      </c>
      <c r="AU65" s="2"/>
      <c r="AV65" s="2">
        <f t="shared" si="74"/>
        <v>115486.6564844137</v>
      </c>
      <c r="AW65" s="2">
        <f t="shared" si="75"/>
        <v>52563.410017231596</v>
      </c>
      <c r="AX65" s="2"/>
      <c r="AY65" s="2">
        <f t="shared" si="76"/>
        <v>119538.22156308236</v>
      </c>
      <c r="AZ65" s="2">
        <f t="shared" si="77"/>
        <v>123766.00601689814</v>
      </c>
      <c r="BA65" s="2">
        <f t="shared" si="78"/>
        <v>535350.27384794236</v>
      </c>
      <c r="BB65" s="2">
        <f t="shared" si="79"/>
        <v>0</v>
      </c>
      <c r="BC65" s="2"/>
      <c r="BM65" s="24"/>
      <c r="BO65" s="1"/>
      <c r="BQ65" s="1"/>
      <c r="BR65" s="1"/>
      <c r="BT65" s="1"/>
      <c r="BU65" s="1"/>
      <c r="BV65" s="1"/>
      <c r="CH65" s="2"/>
    </row>
    <row r="66" spans="1:86" x14ac:dyDescent="0.25">
      <c r="A66">
        <f t="shared" si="9"/>
        <v>2017</v>
      </c>
      <c r="B66" s="2">
        <f t="shared" si="52"/>
        <v>150865.90858167733</v>
      </c>
      <c r="C66" s="2"/>
      <c r="D66" s="2">
        <f t="shared" ref="D66:E66" si="107">AV65*(1+(D30/100))</f>
        <v>138122.04115535878</v>
      </c>
      <c r="E66" s="2">
        <f t="shared" si="107"/>
        <v>61026.119030005888</v>
      </c>
      <c r="F66" s="2"/>
      <c r="G66" s="2">
        <f t="shared" ref="G66:H66" si="108">AY65*(1+(G30/100))</f>
        <v>152291.69427136693</v>
      </c>
      <c r="H66" s="2">
        <f t="shared" si="108"/>
        <v>128048.30982508282</v>
      </c>
      <c r="I66" s="2">
        <f t="shared" si="82"/>
        <v>630354.07286349172</v>
      </c>
      <c r="J66" s="2">
        <f t="shared" si="83"/>
        <v>87000.739239249495</v>
      </c>
      <c r="K66" s="6">
        <f t="shared" si="84"/>
        <v>0.16011816594359046</v>
      </c>
      <c r="L66" s="7">
        <f t="shared" si="85"/>
        <v>1.1601181659435904</v>
      </c>
      <c r="N66">
        <f t="shared" si="86"/>
        <v>2017</v>
      </c>
      <c r="O66" s="2">
        <f t="shared" si="31"/>
        <v>8181.5280093112588</v>
      </c>
      <c r="P66" s="2"/>
      <c r="R66">
        <f t="shared" si="87"/>
        <v>2017</v>
      </c>
      <c r="S66" s="2">
        <f t="shared" si="88"/>
        <v>149229.60297981507</v>
      </c>
      <c r="T66" s="2"/>
      <c r="U66" s="2">
        <f t="shared" si="89"/>
        <v>136485.73555349652</v>
      </c>
      <c r="V66" s="2">
        <f t="shared" si="90"/>
        <v>59389.813428143636</v>
      </c>
      <c r="W66" s="2"/>
      <c r="X66" s="2">
        <f t="shared" si="91"/>
        <v>150655.38866950467</v>
      </c>
      <c r="Y66" s="2">
        <f t="shared" si="92"/>
        <v>126412.00422322057</v>
      </c>
      <c r="Z66" s="2">
        <f t="shared" si="93"/>
        <v>622172.54485418042</v>
      </c>
      <c r="AA66" s="2">
        <f t="shared" si="94"/>
        <v>86822.271006238065</v>
      </c>
      <c r="AB66" s="6">
        <f t="shared" si="95"/>
        <v>0.1621784376464119</v>
      </c>
      <c r="AC66" s="7">
        <f t="shared" si="96"/>
        <v>1.1621784376464119</v>
      </c>
      <c r="AD66" s="2">
        <f t="shared" si="97"/>
        <v>0</v>
      </c>
      <c r="AE66" s="2"/>
      <c r="AG66">
        <f t="shared" si="98"/>
        <v>2017</v>
      </c>
      <c r="AH66" s="6">
        <f t="shared" si="99"/>
        <v>0.23985243999281622</v>
      </c>
      <c r="AI66" s="7"/>
      <c r="AJ66" s="6">
        <f t="shared" si="100"/>
        <v>0.21936958916354127</v>
      </c>
      <c r="AK66" s="6">
        <f t="shared" si="101"/>
        <v>9.5455535477000072E-2</v>
      </c>
      <c r="AL66" s="7"/>
      <c r="AM66" s="6">
        <f t="shared" si="102"/>
        <v>0.24214406423995133</v>
      </c>
      <c r="AN66" s="6">
        <f t="shared" si="103"/>
        <v>0.20317837112669115</v>
      </c>
      <c r="AO66" s="6">
        <f t="shared" si="104"/>
        <v>0.99999999999999989</v>
      </c>
      <c r="AP66" s="7">
        <f t="shared" si="105"/>
        <v>0.79682162887330876</v>
      </c>
      <c r="AQ66" s="7">
        <f t="shared" si="106"/>
        <v>0</v>
      </c>
      <c r="AR66" s="7"/>
      <c r="AS66">
        <f t="shared" si="40"/>
        <v>2017</v>
      </c>
      <c r="AT66" s="2">
        <f t="shared" si="73"/>
        <v>149229.60297981507</v>
      </c>
      <c r="AU66" s="2"/>
      <c r="AV66" s="2">
        <f t="shared" si="74"/>
        <v>136485.73555349652</v>
      </c>
      <c r="AW66" s="2">
        <f t="shared" si="75"/>
        <v>59389.813428143636</v>
      </c>
      <c r="AX66" s="2"/>
      <c r="AY66" s="2">
        <f t="shared" si="76"/>
        <v>150655.38866950467</v>
      </c>
      <c r="AZ66" s="2">
        <f t="shared" si="77"/>
        <v>126412.00422322057</v>
      </c>
      <c r="BA66" s="2">
        <f t="shared" si="78"/>
        <v>622172.54485418042</v>
      </c>
      <c r="BB66" s="2">
        <f t="shared" si="79"/>
        <v>0</v>
      </c>
      <c r="BC66" s="2"/>
      <c r="BM66" s="24"/>
      <c r="BN66">
        <f t="shared" si="5"/>
        <v>2017</v>
      </c>
      <c r="BO66" s="1" t="b">
        <f t="shared" si="41"/>
        <v>1</v>
      </c>
      <c r="BQ66" s="1" t="b">
        <f t="shared" si="62"/>
        <v>1</v>
      </c>
      <c r="BR66" s="1" t="b">
        <f t="shared" si="63"/>
        <v>1</v>
      </c>
      <c r="BT66" s="1" t="b">
        <f t="shared" si="70"/>
        <v>1</v>
      </c>
      <c r="BU66" s="28" t="b">
        <f t="shared" si="43"/>
        <v>0</v>
      </c>
      <c r="BV66" s="1" t="b">
        <f t="shared" si="44"/>
        <v>1</v>
      </c>
      <c r="CH66" t="s">
        <v>41</v>
      </c>
    </row>
    <row r="67" spans="1:86" x14ac:dyDescent="0.25">
      <c r="A67">
        <f t="shared" si="9"/>
        <v>2017</v>
      </c>
      <c r="B67" s="2">
        <f t="shared" si="52"/>
        <v>181567.65794554097</v>
      </c>
      <c r="C67" s="2"/>
      <c r="D67" s="2">
        <f t="shared" ref="D67:E69" si="109">AV66*(1+(D31/100))</f>
        <v>163236.93972198182</v>
      </c>
      <c r="E67" s="2">
        <f t="shared" si="109"/>
        <v>68951.573390074758</v>
      </c>
      <c r="F67" s="2"/>
      <c r="G67" s="2">
        <f t="shared" ref="G67:H69" si="110">AY66*(1+(G31/100))</f>
        <v>191934.96516494895</v>
      </c>
      <c r="H67" s="2">
        <f t="shared" si="110"/>
        <v>130785.859569344</v>
      </c>
      <c r="I67" s="2">
        <f t="shared" ref="I67" si="111">SUM(B67:H67)</f>
        <v>736476.99579189043</v>
      </c>
      <c r="J67" s="2">
        <f t="shared" ref="J67" si="112">I67-I66</f>
        <v>106122.92292839871</v>
      </c>
      <c r="K67" s="6">
        <f t="shared" ref="K67" si="113">(J67/I66)</f>
        <v>0.16835446536629342</v>
      </c>
      <c r="L67" s="7">
        <f t="shared" ref="L67" si="114">K67+1</f>
        <v>1.1683544653662934</v>
      </c>
      <c r="N67">
        <f t="shared" ref="N67" si="115">A67</f>
        <v>2017</v>
      </c>
      <c r="O67" s="2">
        <f t="shared" si="31"/>
        <v>8363.9760839189003</v>
      </c>
      <c r="P67" s="2"/>
      <c r="R67">
        <f t="shared" ref="R67" si="116">A67</f>
        <v>2017</v>
      </c>
      <c r="S67" s="2">
        <f t="shared" ref="S67" si="117">B67-($O67/5)</f>
        <v>179894.86272875717</v>
      </c>
      <c r="T67" s="2"/>
      <c r="U67" s="2">
        <f t="shared" ref="U67" si="118">D67-($O67/5)</f>
        <v>161564.14450519803</v>
      </c>
      <c r="V67" s="2">
        <f t="shared" ref="V67" si="119">E67-($O67/5)</f>
        <v>67278.778173290979</v>
      </c>
      <c r="W67" s="2"/>
      <c r="X67" s="2">
        <f t="shared" ref="X67" si="120">G67-($O67/5)</f>
        <v>190262.16994816516</v>
      </c>
      <c r="Y67" s="2">
        <f t="shared" ref="Y67" si="121">H67-($O67/5)</f>
        <v>129113.06435256022</v>
      </c>
      <c r="Z67" s="2">
        <f t="shared" ref="Z67" si="122">SUM(S67:Y67)</f>
        <v>728113.0197079716</v>
      </c>
      <c r="AA67" s="2">
        <f t="shared" ref="AA67" si="123">Z67-Z66</f>
        <v>105940.47485379118</v>
      </c>
      <c r="AB67" s="6">
        <f t="shared" ref="AB67" si="124">(AA67/Z66)</f>
        <v>0.17027507197158728</v>
      </c>
      <c r="AC67" s="7">
        <f t="shared" ref="AC67" si="125">AB67+1</f>
        <v>1.1702750719715873</v>
      </c>
      <c r="AD67" s="2">
        <f t="shared" ref="AD67" si="126">Z67-(I67-O67)</f>
        <v>0</v>
      </c>
      <c r="AE67" s="2"/>
      <c r="AG67">
        <f t="shared" ref="AG67" si="127">A67</f>
        <v>2017</v>
      </c>
      <c r="AH67" s="6">
        <f t="shared" ref="AH67" si="128">S67/$Z67</f>
        <v>0.24706997108897821</v>
      </c>
      <c r="AI67" s="7"/>
      <c r="AJ67" s="6">
        <f t="shared" ref="AJ67" si="129">U67/$Z67</f>
        <v>0.22189432152991506</v>
      </c>
      <c r="AK67" s="6">
        <f t="shared" ref="AK67" si="130">V67/$Z67</f>
        <v>9.2401559033067224E-2</v>
      </c>
      <c r="AL67" s="7"/>
      <c r="AM67" s="6">
        <f t="shared" ref="AM67" si="131">X67/$Z67</f>
        <v>0.26130856721182472</v>
      </c>
      <c r="AN67" s="6">
        <f t="shared" ref="AN67" si="132">Y67/$Z67</f>
        <v>0.17732558113621472</v>
      </c>
      <c r="AO67" s="6">
        <f t="shared" ref="AO67" si="133">SUM(AH67:AN67)</f>
        <v>1</v>
      </c>
      <c r="AP67" s="7">
        <f t="shared" ref="AP67" si="134">SUM(AH67:AM67)</f>
        <v>0.82267441886378523</v>
      </c>
      <c r="AQ67" s="7">
        <f t="shared" ref="AQ67" si="135">AO67-(AP67+AN67)</f>
        <v>0</v>
      </c>
      <c r="AR67" s="7"/>
      <c r="AS67">
        <f t="shared" ref="AS67" si="136">A67</f>
        <v>2017</v>
      </c>
      <c r="AT67" s="2">
        <f t="shared" ref="AT67" si="137">S67</f>
        <v>179894.86272875717</v>
      </c>
      <c r="AU67" s="2"/>
      <c r="AV67" s="2">
        <f t="shared" ref="AV67" si="138">U67</f>
        <v>161564.14450519803</v>
      </c>
      <c r="AW67" s="2">
        <f t="shared" ref="AW67" si="139">V67</f>
        <v>67278.778173290979</v>
      </c>
      <c r="AX67" s="2"/>
      <c r="AY67" s="2">
        <f t="shared" ref="AY67" si="140">X67</f>
        <v>190262.16994816516</v>
      </c>
      <c r="AZ67" s="2">
        <f t="shared" ref="AZ67" si="141">Y67</f>
        <v>129113.06435256022</v>
      </c>
      <c r="BA67" s="2">
        <f t="shared" ref="BA67" si="142">Z67</f>
        <v>728113.0197079716</v>
      </c>
      <c r="BB67" s="2">
        <f t="shared" ref="BB67" si="143">SUM(AT67:AZ67)-Z67</f>
        <v>0</v>
      </c>
      <c r="BC67" s="2"/>
      <c r="BM67" s="24"/>
      <c r="BO67" s="1"/>
      <c r="BQ67" s="1"/>
      <c r="BR67" s="1"/>
      <c r="BT67" s="1"/>
      <c r="BU67" s="28"/>
      <c r="BV67" s="1"/>
    </row>
    <row r="68" spans="1:86" x14ac:dyDescent="0.25">
      <c r="A68">
        <f t="shared" si="9"/>
        <v>2017</v>
      </c>
      <c r="B68" s="2">
        <f t="shared" si="52"/>
        <v>218878.07948207884</v>
      </c>
      <c r="C68" s="2"/>
      <c r="D68" s="2">
        <f t="shared" si="109"/>
        <v>193230.71682821683</v>
      </c>
      <c r="E68" s="2">
        <f t="shared" si="109"/>
        <v>78110.661459190829</v>
      </c>
      <c r="F68" s="2"/>
      <c r="G68" s="2">
        <f t="shared" si="110"/>
        <v>242394.00451396243</v>
      </c>
      <c r="H68" s="2">
        <f t="shared" si="110"/>
        <v>133580.37637915881</v>
      </c>
      <c r="I68" s="2">
        <f t="shared" ref="I68:I69" si="144">SUM(B68:H68)</f>
        <v>866193.83866260783</v>
      </c>
      <c r="J68" s="2">
        <f t="shared" ref="J68:J69" si="145">I68-I67</f>
        <v>129716.8428707174</v>
      </c>
      <c r="K68" s="6">
        <f t="shared" ref="K68:K69" si="146">(J68/I67)</f>
        <v>0.1761315609474543</v>
      </c>
      <c r="L68" s="7">
        <f t="shared" ref="L68:L69" si="147">K68+1</f>
        <v>1.1761315609474543</v>
      </c>
      <c r="N68">
        <f t="shared" ref="N68:N69" si="148">A68</f>
        <v>2017</v>
      </c>
      <c r="O68" s="2">
        <f t="shared" si="31"/>
        <v>8550.4927505902924</v>
      </c>
      <c r="P68" s="2"/>
      <c r="R68">
        <f t="shared" ref="R68:R69" si="149">A68</f>
        <v>2017</v>
      </c>
      <c r="S68" s="2">
        <f t="shared" ref="S68:S69" si="150">B68-($O68/5)</f>
        <v>217167.98093196077</v>
      </c>
      <c r="T68" s="2"/>
      <c r="U68" s="2">
        <f t="shared" ref="U68:U69" si="151">D68-($O68/5)</f>
        <v>191520.61827809876</v>
      </c>
      <c r="V68" s="2">
        <f t="shared" ref="V68:V69" si="152">E68-($O68/5)</f>
        <v>76400.562909072774</v>
      </c>
      <c r="W68" s="2"/>
      <c r="X68" s="2">
        <f t="shared" ref="X68:X69" si="153">G68-($O68/5)</f>
        <v>240683.90596384436</v>
      </c>
      <c r="Y68" s="2">
        <f t="shared" ref="Y68:Y69" si="154">H68-($O68/5)</f>
        <v>131870.27782904074</v>
      </c>
      <c r="Z68" s="2">
        <f t="shared" ref="Z68:Z69" si="155">SUM(S68:Y68)</f>
        <v>857643.34591201739</v>
      </c>
      <c r="AA68" s="2">
        <f t="shared" ref="AA68:AA69" si="156">Z68-Z67</f>
        <v>129530.32620404579</v>
      </c>
      <c r="AB68" s="6">
        <f t="shared" ref="AB68:AB69" si="157">(AA68/Z67)</f>
        <v>0.1778986540523575</v>
      </c>
      <c r="AC68" s="7">
        <f t="shared" ref="AC68:AC69" si="158">AB68+1</f>
        <v>1.1778986540523575</v>
      </c>
      <c r="AD68" s="2">
        <f t="shared" ref="AD68:AD69" si="159">Z68-(I68-O68)</f>
        <v>0</v>
      </c>
      <c r="AE68" s="2"/>
      <c r="AG68">
        <f t="shared" ref="AG68:AG69" si="160">A68</f>
        <v>2017</v>
      </c>
      <c r="AH68" s="6">
        <f t="shared" ref="AH68:AH69" si="161">S68/$Z68</f>
        <v>0.25321479140145892</v>
      </c>
      <c r="AI68" s="7"/>
      <c r="AJ68" s="6">
        <f t="shared" ref="AJ68:AJ69" si="162">U68/$Z68</f>
        <v>0.22331032962709674</v>
      </c>
      <c r="AK68" s="6">
        <f t="shared" ref="AK68:AK69" si="163">V68/$Z68</f>
        <v>8.9081974778022044E-2</v>
      </c>
      <c r="AL68" s="7"/>
      <c r="AM68" s="6">
        <f t="shared" ref="AM68:AM69" si="164">X68/$Z68</f>
        <v>0.28063402708255286</v>
      </c>
      <c r="AN68" s="6">
        <f t="shared" ref="AN68:AN69" si="165">Y68/$Z68</f>
        <v>0.15375887711086941</v>
      </c>
      <c r="AO68" s="6">
        <f t="shared" ref="AO68:AO69" si="166">SUM(AH68:AN68)</f>
        <v>1</v>
      </c>
      <c r="AP68" s="7">
        <f t="shared" ref="AP68:AP69" si="167">SUM(AH68:AM68)</f>
        <v>0.84624112288913067</v>
      </c>
      <c r="AQ68" s="7">
        <f t="shared" ref="AQ68:AQ69" si="168">AO68-(AP68+AN68)</f>
        <v>0</v>
      </c>
      <c r="AR68" s="7"/>
      <c r="AS68">
        <f t="shared" ref="AS68:AS69" si="169">A68</f>
        <v>2017</v>
      </c>
      <c r="AT68" s="2">
        <f t="shared" ref="AT68:AT69" si="170">S68</f>
        <v>217167.98093196077</v>
      </c>
      <c r="AU68" s="2"/>
      <c r="AV68" s="2">
        <f t="shared" ref="AV68:AV69" si="171">U68</f>
        <v>191520.61827809876</v>
      </c>
      <c r="AW68" s="2">
        <f t="shared" ref="AW68:AW69" si="172">V68</f>
        <v>76400.562909072774</v>
      </c>
      <c r="AX68" s="2"/>
      <c r="AY68" s="2">
        <f t="shared" ref="AY68:AY69" si="173">X68</f>
        <v>240683.90596384436</v>
      </c>
      <c r="AZ68" s="2">
        <f t="shared" ref="AZ68:AZ69" si="174">Y68</f>
        <v>131870.27782904074</v>
      </c>
      <c r="BA68" s="2">
        <f t="shared" ref="BA68:BA69" si="175">Z68</f>
        <v>857643.34591201739</v>
      </c>
      <c r="BB68" s="2">
        <f t="shared" ref="BB68:BB69" si="176">SUM(AT68:AZ68)-Z68</f>
        <v>0</v>
      </c>
      <c r="BC68" s="2"/>
      <c r="BM68" s="24"/>
      <c r="BO68" s="1"/>
      <c r="BQ68" s="1"/>
      <c r="BR68" s="1"/>
      <c r="BT68" s="1"/>
      <c r="BU68" s="28"/>
      <c r="BV68" s="1"/>
    </row>
    <row r="69" spans="1:86" x14ac:dyDescent="0.25">
      <c r="A69">
        <f t="shared" si="9"/>
        <v>2017</v>
      </c>
      <c r="B69" s="2">
        <f t="shared" si="52"/>
        <v>264228.28239991667</v>
      </c>
      <c r="C69" s="2"/>
      <c r="D69" s="2">
        <f t="shared" si="109"/>
        <v>229058.65946060611</v>
      </c>
      <c r="E69" s="2">
        <f t="shared" si="109"/>
        <v>88701.053537433487</v>
      </c>
      <c r="F69" s="2"/>
      <c r="G69" s="2">
        <f t="shared" si="110"/>
        <v>306631.29619793774</v>
      </c>
      <c r="H69" s="2">
        <f t="shared" si="110"/>
        <v>136432.98944192554</v>
      </c>
      <c r="I69" s="2">
        <f t="shared" si="144"/>
        <v>1025052.2810378195</v>
      </c>
      <c r="J69" s="2">
        <f t="shared" si="145"/>
        <v>158858.44237521163</v>
      </c>
      <c r="K69" s="6">
        <f t="shared" si="146"/>
        <v>0.18339825947098287</v>
      </c>
      <c r="L69" s="7">
        <f t="shared" si="147"/>
        <v>1.1833982594709829</v>
      </c>
      <c r="N69">
        <f t="shared" si="148"/>
        <v>2017</v>
      </c>
      <c r="O69" s="2">
        <f t="shared" si="31"/>
        <v>8741.1687389284562</v>
      </c>
      <c r="P69" s="2"/>
      <c r="R69">
        <f t="shared" si="149"/>
        <v>2017</v>
      </c>
      <c r="S69" s="2">
        <f t="shared" si="150"/>
        <v>262480.04865213099</v>
      </c>
      <c r="T69" s="2"/>
      <c r="U69" s="2">
        <f t="shared" si="151"/>
        <v>227310.42571282043</v>
      </c>
      <c r="V69" s="2">
        <f t="shared" si="152"/>
        <v>86952.819789647794</v>
      </c>
      <c r="W69" s="2"/>
      <c r="X69" s="2">
        <f t="shared" si="153"/>
        <v>304883.06245015207</v>
      </c>
      <c r="Y69" s="2">
        <f t="shared" si="154"/>
        <v>134684.75569413987</v>
      </c>
      <c r="Z69" s="2">
        <f t="shared" si="155"/>
        <v>1016311.1122988911</v>
      </c>
      <c r="AA69" s="2">
        <f t="shared" si="156"/>
        <v>158667.76638687367</v>
      </c>
      <c r="AB69" s="6">
        <f t="shared" si="157"/>
        <v>0.18500436940736301</v>
      </c>
      <c r="AC69" s="7">
        <f t="shared" si="158"/>
        <v>1.1850043694073631</v>
      </c>
      <c r="AD69" s="2">
        <f t="shared" si="159"/>
        <v>0</v>
      </c>
      <c r="AE69" s="2"/>
      <c r="AG69">
        <f t="shared" si="160"/>
        <v>2017</v>
      </c>
      <c r="AH69" s="6">
        <f t="shared" si="161"/>
        <v>0.25826741976519607</v>
      </c>
      <c r="AI69" s="7"/>
      <c r="AJ69" s="6">
        <f t="shared" si="162"/>
        <v>0.22366224570608628</v>
      </c>
      <c r="AK69" s="6">
        <f t="shared" si="163"/>
        <v>8.5557285301113076E-2</v>
      </c>
      <c r="AL69" s="7"/>
      <c r="AM69" s="6">
        <f t="shared" si="164"/>
        <v>0.29998989360699596</v>
      </c>
      <c r="AN69" s="6">
        <f t="shared" si="165"/>
        <v>0.13252315562060871</v>
      </c>
      <c r="AO69" s="6">
        <f t="shared" si="166"/>
        <v>1.0000000000000002</v>
      </c>
      <c r="AP69" s="7">
        <f t="shared" si="167"/>
        <v>0.86747684437939143</v>
      </c>
      <c r="AQ69" s="7">
        <f t="shared" si="168"/>
        <v>0</v>
      </c>
      <c r="AR69" s="7"/>
      <c r="AS69">
        <f t="shared" si="169"/>
        <v>2017</v>
      </c>
      <c r="AT69" s="2">
        <f t="shared" si="170"/>
        <v>262480.04865213099</v>
      </c>
      <c r="AU69" s="2"/>
      <c r="AV69" s="2">
        <f t="shared" si="171"/>
        <v>227310.42571282043</v>
      </c>
      <c r="AW69" s="2">
        <f t="shared" si="172"/>
        <v>86952.819789647794</v>
      </c>
      <c r="AX69" s="2"/>
      <c r="AY69" s="2">
        <f t="shared" si="173"/>
        <v>304883.06245015207</v>
      </c>
      <c r="AZ69" s="2">
        <f t="shared" si="174"/>
        <v>134684.75569413987</v>
      </c>
      <c r="BA69" s="2">
        <f t="shared" si="175"/>
        <v>1016311.1122988911</v>
      </c>
      <c r="BB69" s="2">
        <f t="shared" si="176"/>
        <v>0</v>
      </c>
      <c r="BC69" s="2"/>
      <c r="BM69" s="24"/>
      <c r="BO69" s="1"/>
      <c r="BQ69" s="1"/>
      <c r="BR69" s="1"/>
      <c r="BT69" s="1"/>
      <c r="BU69" s="28"/>
      <c r="BV69" s="1"/>
    </row>
    <row r="70" spans="1:86" x14ac:dyDescent="0.25">
      <c r="A70" s="9" t="s">
        <v>79</v>
      </c>
      <c r="B70" s="10">
        <f>AT69</f>
        <v>262480.04865213099</v>
      </c>
      <c r="C70" s="10"/>
      <c r="D70" s="10">
        <f>AV69</f>
        <v>227310.42571282043</v>
      </c>
      <c r="E70" s="10">
        <f>AW69</f>
        <v>86952.819789647794</v>
      </c>
      <c r="F70" s="10"/>
      <c r="G70" s="10">
        <f>AY69</f>
        <v>304883.06245015207</v>
      </c>
      <c r="H70" s="10">
        <f>AZ69</f>
        <v>134684.75569413987</v>
      </c>
      <c r="I70" s="10">
        <f>SUM(B70:H70)</f>
        <v>1016311.1122988911</v>
      </c>
      <c r="J70" s="10"/>
      <c r="K70" s="10"/>
      <c r="L70" s="74"/>
      <c r="N70" t="s">
        <v>40</v>
      </c>
      <c r="O70" s="2">
        <f>O69</f>
        <v>8741.1687389284562</v>
      </c>
      <c r="P70" s="2"/>
      <c r="R70" s="9" t="s">
        <v>79</v>
      </c>
      <c r="S70" s="10">
        <f>S69</f>
        <v>262480.04865213099</v>
      </c>
      <c r="T70" s="10"/>
      <c r="U70" s="10">
        <f>U69</f>
        <v>227310.42571282043</v>
      </c>
      <c r="V70" s="10">
        <f>V69</f>
        <v>86952.819789647794</v>
      </c>
      <c r="W70" s="10"/>
      <c r="X70" s="10">
        <f>X69</f>
        <v>304883.06245015207</v>
      </c>
      <c r="Y70" s="10">
        <f>Y69</f>
        <v>134684.75569413987</v>
      </c>
      <c r="Z70" s="10">
        <f>SUM(S70:Y70)</f>
        <v>1016311.1122988911</v>
      </c>
      <c r="AA70" s="10"/>
      <c r="AB70" s="10"/>
      <c r="AC70" s="10"/>
      <c r="AD70" s="10"/>
      <c r="AE70" s="43"/>
      <c r="AK70" s="7"/>
    </row>
    <row r="71" spans="1:86" x14ac:dyDescent="0.25">
      <c r="A71" s="11" t="s">
        <v>11</v>
      </c>
      <c r="I71" s="6">
        <f>(Z70-Z39)/Z39</f>
        <v>9.1631111229889104</v>
      </c>
      <c r="K71" s="6"/>
      <c r="N71" t="s">
        <v>71</v>
      </c>
      <c r="O71" s="2">
        <f>SUM(O40:O69)</f>
        <v>198195.99869006357</v>
      </c>
      <c r="P71" s="2"/>
    </row>
    <row r="72" spans="1:86" x14ac:dyDescent="0.25">
      <c r="A72" s="1" t="s">
        <v>12</v>
      </c>
      <c r="I72" s="12">
        <f>STDEV(AC40:AC69)</f>
        <v>8.7005775421262102E-2</v>
      </c>
    </row>
    <row r="73" spans="1:86" x14ac:dyDescent="0.25">
      <c r="A73" s="1" t="s">
        <v>13</v>
      </c>
      <c r="I73" s="13">
        <f>((1+I71)^(1/I80))-1</f>
        <v>8.0357660676765086E-2</v>
      </c>
    </row>
    <row r="74" spans="1:86" x14ac:dyDescent="0.25">
      <c r="A74" s="1" t="s">
        <v>83</v>
      </c>
      <c r="I74" s="31">
        <f>J60</f>
        <v>62882.176781761402</v>
      </c>
      <c r="O74" s="2"/>
      <c r="P74" s="2"/>
    </row>
    <row r="75" spans="1:86" x14ac:dyDescent="0.25">
      <c r="A75" s="1" t="s">
        <v>84</v>
      </c>
      <c r="I75" s="32">
        <f>K60</f>
        <v>0.19348976032572618</v>
      </c>
    </row>
    <row r="76" spans="1:86" x14ac:dyDescent="0.25">
      <c r="A76" s="1" t="s">
        <v>43</v>
      </c>
      <c r="I76" s="2">
        <f>O71</f>
        <v>198195.99869006357</v>
      </c>
    </row>
    <row r="77" spans="1:86" x14ac:dyDescent="0.25">
      <c r="A77" s="3" t="s">
        <v>5</v>
      </c>
      <c r="B77" s="3"/>
      <c r="C77" s="3"/>
      <c r="D77" s="3"/>
      <c r="E77" s="3"/>
      <c r="F77" s="3"/>
      <c r="G77" s="3"/>
      <c r="H77" s="3"/>
      <c r="I77" s="33">
        <f>I70-Z70</f>
        <v>0</v>
      </c>
    </row>
    <row r="78" spans="1:86" x14ac:dyDescent="0.25">
      <c r="A78" s="3" t="s">
        <v>149</v>
      </c>
      <c r="B78" s="3"/>
      <c r="C78" s="3"/>
      <c r="D78" s="3"/>
      <c r="E78" s="3"/>
      <c r="F78" s="3"/>
      <c r="G78" s="3"/>
      <c r="H78" s="3"/>
      <c r="I78" s="33">
        <f>((SUM(AA40:AA69)))-(I70-I39)</f>
        <v>0</v>
      </c>
    </row>
    <row r="79" spans="1:86" x14ac:dyDescent="0.25">
      <c r="A79" s="3" t="s">
        <v>148</v>
      </c>
      <c r="B79" s="3"/>
      <c r="C79" s="3"/>
      <c r="D79" s="3"/>
      <c r="E79" s="3"/>
      <c r="F79" s="3"/>
      <c r="G79" s="3"/>
      <c r="H79" s="3"/>
      <c r="I79" s="33">
        <f>(SUM(O40:O69))-I76</f>
        <v>0</v>
      </c>
    </row>
    <row r="80" spans="1:86" x14ac:dyDescent="0.25">
      <c r="A80" s="3" t="s">
        <v>153</v>
      </c>
      <c r="B80" s="3"/>
      <c r="C80" s="3"/>
      <c r="D80" s="3"/>
      <c r="E80" s="3"/>
      <c r="F80" s="3"/>
      <c r="G80" s="3"/>
      <c r="H80" s="3"/>
      <c r="I80" s="75">
        <f>COUNTA(I40:I69)</f>
        <v>30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3"/>
  <sheetViews>
    <sheetView workbookViewId="0">
      <selection activeCell="A14" sqref="A14"/>
    </sheetView>
  </sheetViews>
  <sheetFormatPr defaultColWidth="8.85546875" defaultRowHeight="15" x14ac:dyDescent="0.25"/>
  <sheetData>
    <row r="1" spans="1:2" x14ac:dyDescent="0.25">
      <c r="A1" s="20" t="s">
        <v>91</v>
      </c>
    </row>
    <row r="3" spans="1:2" x14ac:dyDescent="0.25">
      <c r="A3" t="s">
        <v>44</v>
      </c>
    </row>
    <row r="5" spans="1:2" x14ac:dyDescent="0.25">
      <c r="A5" s="37" t="s">
        <v>94</v>
      </c>
    </row>
    <row r="6" spans="1:2" x14ac:dyDescent="0.25">
      <c r="A6" t="s">
        <v>96</v>
      </c>
    </row>
    <row r="7" spans="1:2" x14ac:dyDescent="0.25">
      <c r="A7" t="s">
        <v>60</v>
      </c>
    </row>
    <row r="8" spans="1:2" x14ac:dyDescent="0.25">
      <c r="A8" t="s">
        <v>95</v>
      </c>
    </row>
    <row r="9" spans="1:2" x14ac:dyDescent="0.25">
      <c r="A9" t="s">
        <v>59</v>
      </c>
    </row>
    <row r="10" spans="1:2" x14ac:dyDescent="0.25">
      <c r="A10" t="s">
        <v>97</v>
      </c>
    </row>
    <row r="11" spans="1:2" x14ac:dyDescent="0.25">
      <c r="A11" s="35" t="s">
        <v>98</v>
      </c>
    </row>
    <row r="12" spans="1:2" x14ac:dyDescent="0.25">
      <c r="A12" s="35" t="s">
        <v>99</v>
      </c>
    </row>
    <row r="14" spans="1:2" x14ac:dyDescent="0.25">
      <c r="A14" s="37" t="s">
        <v>101</v>
      </c>
    </row>
    <row r="15" spans="1:2" x14ac:dyDescent="0.25">
      <c r="A15" s="35" t="s">
        <v>100</v>
      </c>
      <c r="B15" s="35"/>
    </row>
    <row r="16" spans="1:2" x14ac:dyDescent="0.25">
      <c r="A16" s="36">
        <v>0.2</v>
      </c>
      <c r="B16" s="35" t="s">
        <v>67</v>
      </c>
    </row>
    <row r="17" spans="1:2" x14ac:dyDescent="0.25">
      <c r="A17" s="36">
        <v>0.2</v>
      </c>
      <c r="B17" s="35" t="s">
        <v>68</v>
      </c>
    </row>
    <row r="18" spans="1:2" x14ac:dyDescent="0.25">
      <c r="A18" s="36">
        <v>0.1</v>
      </c>
      <c r="B18" s="35" t="s">
        <v>69</v>
      </c>
    </row>
    <row r="19" spans="1:2" x14ac:dyDescent="0.25">
      <c r="A19" s="36">
        <v>0.15</v>
      </c>
      <c r="B19" s="35" t="s">
        <v>70</v>
      </c>
    </row>
    <row r="20" spans="1:2" x14ac:dyDescent="0.25">
      <c r="A20" s="36">
        <v>0.05</v>
      </c>
      <c r="B20" s="35" t="s">
        <v>46</v>
      </c>
    </row>
    <row r="21" spans="1:2" x14ac:dyDescent="0.25">
      <c r="A21" s="36">
        <v>0.3</v>
      </c>
      <c r="B21" s="35" t="s">
        <v>64</v>
      </c>
    </row>
    <row r="22" spans="1:2" x14ac:dyDescent="0.25">
      <c r="A22" s="36">
        <f>SUM(A16:A21)</f>
        <v>1</v>
      </c>
      <c r="B22" s="35" t="s">
        <v>71</v>
      </c>
    </row>
    <row r="24" spans="1:2" x14ac:dyDescent="0.25">
      <c r="A24" s="37" t="s">
        <v>102</v>
      </c>
    </row>
    <row r="25" spans="1:2" x14ac:dyDescent="0.25">
      <c r="A25" t="s">
        <v>103</v>
      </c>
    </row>
    <row r="26" spans="1:2" x14ac:dyDescent="0.25">
      <c r="A26" t="s">
        <v>104</v>
      </c>
    </row>
    <row r="29" spans="1:2" x14ac:dyDescent="0.25">
      <c r="A29" s="47" t="s">
        <v>105</v>
      </c>
    </row>
    <row r="30" spans="1:2" x14ac:dyDescent="0.25">
      <c r="A30" t="s">
        <v>26</v>
      </c>
    </row>
    <row r="31" spans="1:2" x14ac:dyDescent="0.25">
      <c r="A31" t="s">
        <v>27</v>
      </c>
    </row>
    <row r="32" spans="1:2" x14ac:dyDescent="0.25">
      <c r="A32" t="s">
        <v>28</v>
      </c>
    </row>
    <row r="33" spans="1:1" x14ac:dyDescent="0.25">
      <c r="A33" t="s">
        <v>29</v>
      </c>
    </row>
    <row r="36" spans="1:1" x14ac:dyDescent="0.25">
      <c r="A36" s="47" t="s">
        <v>144</v>
      </c>
    </row>
    <row r="37" spans="1:1" x14ac:dyDescent="0.25">
      <c r="A37" s="48" t="s">
        <v>142</v>
      </c>
    </row>
    <row r="38" spans="1:1" x14ac:dyDescent="0.25">
      <c r="A38" t="s">
        <v>45</v>
      </c>
    </row>
    <row r="39" spans="1:1" x14ac:dyDescent="0.25">
      <c r="A39" t="s">
        <v>150</v>
      </c>
    </row>
    <row r="40" spans="1:1" x14ac:dyDescent="0.25">
      <c r="A40" t="s">
        <v>151</v>
      </c>
    </row>
    <row r="41" spans="1:1" x14ac:dyDescent="0.25">
      <c r="A41" t="s">
        <v>152</v>
      </c>
    </row>
    <row r="43" spans="1:1" x14ac:dyDescent="0.25">
      <c r="A43" t="s">
        <v>86</v>
      </c>
    </row>
  </sheetData>
  <hyperlinks>
    <hyperlink ref="A37"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1"/>
  <sheetViews>
    <sheetView topLeftCell="A21" workbookViewId="0">
      <selection activeCell="F29" sqref="F29"/>
    </sheetView>
  </sheetViews>
  <sheetFormatPr defaultColWidth="8.85546875" defaultRowHeight="15" x14ac:dyDescent="0.25"/>
  <cols>
    <col min="2" max="2" width="15.85546875" customWidth="1"/>
    <col min="3" max="3" width="14.7109375" customWidth="1"/>
    <col min="4" max="4" width="13.42578125" customWidth="1"/>
  </cols>
  <sheetData>
    <row r="1" spans="1:4" ht="60" x14ac:dyDescent="0.25">
      <c r="B1" s="8" t="str">
        <f>Summary!B5</f>
        <v>Rebalance at 5% Thresholds</v>
      </c>
      <c r="C1" s="8" t="str">
        <f>Summary!C5</f>
        <v>No Rebalancing</v>
      </c>
      <c r="D1" s="8" t="str">
        <f>Summary!D5</f>
        <v>Panic and Sell When S&amp;P 500 Falls &gt; 20%</v>
      </c>
    </row>
    <row r="2" spans="1:4" x14ac:dyDescent="0.25">
      <c r="A2" t="s">
        <v>114</v>
      </c>
      <c r="B2" s="64">
        <f>'Non-Rebalanced Portfolio'!I39</f>
        <v>100000</v>
      </c>
      <c r="C2" s="2">
        <f>'Non-Rebalanced Portfolio'!I39</f>
        <v>100000</v>
      </c>
      <c r="D2" s="64">
        <f>'Panic Portfolio'!I39</f>
        <v>100000</v>
      </c>
    </row>
    <row r="3" spans="1:4" x14ac:dyDescent="0.25">
      <c r="A3">
        <f>'Rebalanced Portfolio'!A40</f>
        <v>1993</v>
      </c>
      <c r="B3" s="2">
        <f>'Rebalanced Portfolio'!I40</f>
        <v>115327.8</v>
      </c>
      <c r="C3" s="2">
        <f>'Non-Rebalanced Portfolio'!I40</f>
        <v>115327.8</v>
      </c>
      <c r="D3" s="64">
        <f>'Panic Portfolio'!I40</f>
        <v>115327.8</v>
      </c>
    </row>
    <row r="4" spans="1:4" x14ac:dyDescent="0.25">
      <c r="A4">
        <f>'Rebalanced Portfolio'!A41</f>
        <v>1994</v>
      </c>
      <c r="B4" s="2">
        <f>'Rebalanced Portfolio'!I41</f>
        <v>115477.50486</v>
      </c>
      <c r="C4" s="2">
        <f>'Non-Rebalanced Portfolio'!I41</f>
        <v>115477.50486</v>
      </c>
      <c r="D4" s="64">
        <f>'Panic Portfolio'!I41</f>
        <v>115477.50486</v>
      </c>
    </row>
    <row r="5" spans="1:4" x14ac:dyDescent="0.25">
      <c r="A5">
        <f>'Rebalanced Portfolio'!A42</f>
        <v>1995</v>
      </c>
      <c r="B5" s="2">
        <f>'Rebalanced Portfolio'!I42</f>
        <v>143681.48656620481</v>
      </c>
      <c r="C5" s="2">
        <f>'Non-Rebalanced Portfolio'!I42</f>
        <v>143681.48656620481</v>
      </c>
      <c r="D5" s="64">
        <f>'Panic Portfolio'!I42</f>
        <v>143681.48656620481</v>
      </c>
    </row>
    <row r="6" spans="1:4" x14ac:dyDescent="0.25">
      <c r="A6">
        <f>'Rebalanced Portfolio'!A43</f>
        <v>1996</v>
      </c>
      <c r="B6" s="2">
        <f>'Rebalanced Portfolio'!I43</f>
        <v>163074.53552483415</v>
      </c>
      <c r="C6" s="2">
        <f>'Non-Rebalanced Portfolio'!I43</f>
        <v>163074.53552483415</v>
      </c>
      <c r="D6" s="64">
        <f>'Panic Portfolio'!I43</f>
        <v>163074.53552483415</v>
      </c>
    </row>
    <row r="7" spans="1:4" x14ac:dyDescent="0.25">
      <c r="A7">
        <f>'Rebalanced Portfolio'!A44</f>
        <v>1997</v>
      </c>
      <c r="B7" s="2">
        <f>'Rebalanced Portfolio'!I44</f>
        <v>191573.60442768969</v>
      </c>
      <c r="C7" s="2">
        <f>'Non-Rebalanced Portfolio'!I44</f>
        <v>193157.8475776618</v>
      </c>
      <c r="D7" s="64">
        <f>'Panic Portfolio'!I44</f>
        <v>193415.13244111885</v>
      </c>
    </row>
    <row r="8" spans="1:4" x14ac:dyDescent="0.25">
      <c r="A8">
        <f>'Rebalanced Portfolio'!A45</f>
        <v>1998</v>
      </c>
      <c r="B8" s="2">
        <f>'Rebalanced Portfolio'!I45</f>
        <v>218883.18472873222</v>
      </c>
      <c r="C8" s="2">
        <f>'Non-Rebalanced Portfolio'!I45</f>
        <v>221936.34881344455</v>
      </c>
      <c r="D8" s="64">
        <f>'Panic Portfolio'!I45</f>
        <v>222233.77783414681</v>
      </c>
    </row>
    <row r="9" spans="1:4" x14ac:dyDescent="0.25">
      <c r="A9">
        <f>'Rebalanced Portfolio'!A46</f>
        <v>1999</v>
      </c>
      <c r="B9" s="2">
        <f>'Rebalanced Portfolio'!I46</f>
        <v>240705.40047981736</v>
      </c>
      <c r="C9" s="2">
        <f>'Non-Rebalanced Portfolio'!I46</f>
        <v>259584.80899175556</v>
      </c>
      <c r="D9" s="64">
        <f>'Panic Portfolio'!I46</f>
        <v>246922.89409109595</v>
      </c>
    </row>
    <row r="10" spans="1:4" x14ac:dyDescent="0.25">
      <c r="A10">
        <f>'Rebalanced Portfolio'!A47</f>
        <v>2000</v>
      </c>
      <c r="B10" s="2">
        <f>'Rebalanced Portfolio'!I47</f>
        <v>249063.38754226797</v>
      </c>
      <c r="C10" s="2">
        <f>'Non-Rebalanced Portfolio'!I47</f>
        <v>259471.42817783021</v>
      </c>
      <c r="D10" s="64">
        <f>'Panic Portfolio'!I47</f>
        <v>245543.25961722041</v>
      </c>
    </row>
    <row r="11" spans="1:4" x14ac:dyDescent="0.25">
      <c r="A11">
        <f>'Rebalanced Portfolio'!A48</f>
        <v>2001</v>
      </c>
      <c r="B11" s="2">
        <f>'Rebalanced Portfolio'!I48</f>
        <v>240159.51982622256</v>
      </c>
      <c r="C11" s="2">
        <f>'Non-Rebalanced Portfolio'!I48</f>
        <v>247443.59534768606</v>
      </c>
      <c r="D11" s="64">
        <f>'Panic Portfolio'!I48</f>
        <v>233325.87532975138</v>
      </c>
    </row>
    <row r="12" spans="1:4" x14ac:dyDescent="0.25">
      <c r="A12">
        <f>'Rebalanced Portfolio'!A49</f>
        <v>2002</v>
      </c>
      <c r="B12" s="2">
        <f>'Rebalanced Portfolio'!I49</f>
        <v>218387.85647262356</v>
      </c>
      <c r="C12" s="2">
        <f>'Non-Rebalanced Portfolio'!I49</f>
        <v>217597.30838049023</v>
      </c>
      <c r="D12" s="64">
        <f>'Panic Portfolio'!I49</f>
        <v>205843.04711126536</v>
      </c>
    </row>
    <row r="13" spans="1:4" x14ac:dyDescent="0.25">
      <c r="A13">
        <f>'Rebalanced Portfolio'!A50</f>
        <v>2003</v>
      </c>
      <c r="B13" s="2">
        <f>'Rebalanced Portfolio'!I50</f>
        <v>275933.49342887284</v>
      </c>
      <c r="C13" s="2">
        <f>'Non-Rebalanced Portfolio'!I50</f>
        <v>275395.81223028904</v>
      </c>
      <c r="D13" s="64">
        <f>'Panic Portfolio'!I50</f>
        <v>214015.01608158261</v>
      </c>
    </row>
    <row r="14" spans="1:4" x14ac:dyDescent="0.25">
      <c r="A14">
        <f>'Rebalanced Portfolio'!A51</f>
        <v>2004</v>
      </c>
      <c r="B14" s="2">
        <f>'Rebalanced Portfolio'!I51</f>
        <v>313592.06881156511</v>
      </c>
      <c r="C14" s="2">
        <f>'Non-Rebalanced Portfolio'!I51</f>
        <v>315358.14985774312</v>
      </c>
      <c r="D14" s="64">
        <f>'Panic Portfolio'!I51</f>
        <v>243223.14343134878</v>
      </c>
    </row>
    <row r="15" spans="1:4" x14ac:dyDescent="0.25">
      <c r="A15">
        <f>'Rebalanced Portfolio'!A52</f>
        <v>2005</v>
      </c>
      <c r="B15" s="2">
        <f>'Rebalanced Portfolio'!I52</f>
        <v>340650.57723266579</v>
      </c>
      <c r="C15" s="2">
        <f>'Non-Rebalanced Portfolio'!I52</f>
        <v>343468.94239179924</v>
      </c>
      <c r="D15" s="64">
        <f>'Panic Portfolio'!I52</f>
        <v>264209.82048502885</v>
      </c>
    </row>
    <row r="16" spans="1:4" x14ac:dyDescent="0.25">
      <c r="A16">
        <f>'Rebalanced Portfolio'!A53</f>
        <v>2006</v>
      </c>
      <c r="B16" s="2">
        <f>'Rebalanced Portfolio'!I53</f>
        <v>390816.75277617073</v>
      </c>
      <c r="C16" s="2">
        <f>'Non-Rebalanced Portfolio'!I53</f>
        <v>393543.15183764946</v>
      </c>
      <c r="D16" s="64">
        <f>'Panic Portfolio'!I53</f>
        <v>303118.88778338564</v>
      </c>
    </row>
    <row r="17" spans="1:4" x14ac:dyDescent="0.25">
      <c r="A17">
        <f>'Rebalanced Portfolio'!A54</f>
        <v>2007</v>
      </c>
      <c r="B17" s="2">
        <f>'Rebalanced Portfolio'!I54</f>
        <v>420433.62793505454</v>
      </c>
      <c r="C17" s="2">
        <f>'Non-Rebalanced Portfolio'!I54</f>
        <v>421506.5529400268</v>
      </c>
      <c r="D17" s="64">
        <f>'Panic Portfolio'!I54</f>
        <v>327291.68508804281</v>
      </c>
    </row>
    <row r="18" spans="1:4" x14ac:dyDescent="0.25">
      <c r="A18">
        <f>'Rebalanced Portfolio'!A55</f>
        <v>2008</v>
      </c>
      <c r="B18" s="2">
        <f>'Rebalanced Portfolio'!I55</f>
        <v>307528.03368118167</v>
      </c>
      <c r="C18" s="2">
        <f>'Non-Rebalanced Portfolio'!I55</f>
        <v>285665.95766561961</v>
      </c>
      <c r="D18" s="64">
        <f>'Panic Portfolio'!I55</f>
        <v>228989.89602566432</v>
      </c>
    </row>
    <row r="19" spans="1:4" x14ac:dyDescent="0.25">
      <c r="A19">
        <f>'Rebalanced Portfolio'!A56</f>
        <v>2009</v>
      </c>
      <c r="B19" s="2">
        <f>'Rebalanced Portfolio'!I56</f>
        <v>387724.57924849284</v>
      </c>
      <c r="C19" s="2">
        <f>'Non-Rebalanced Portfolio'!I56</f>
        <v>363037.48326962319</v>
      </c>
      <c r="D19" s="64">
        <f>'Panic Portfolio'!I56</f>
        <v>242568.99685998619</v>
      </c>
    </row>
    <row r="20" spans="1:4" x14ac:dyDescent="0.25">
      <c r="A20">
        <f>'Rebalanced Portfolio'!A57</f>
        <v>2010</v>
      </c>
      <c r="B20" s="2">
        <f>'Rebalanced Portfolio'!I57</f>
        <v>448510.70446813793</v>
      </c>
      <c r="C20" s="2">
        <f>'Non-Rebalanced Portfolio'!I57</f>
        <v>424337.08544169768</v>
      </c>
      <c r="D20" s="64">
        <f>'Panic Portfolio'!I57</f>
        <v>278944.64362910972</v>
      </c>
    </row>
    <row r="21" spans="1:4" x14ac:dyDescent="0.25">
      <c r="A21">
        <f>'Rebalanced Portfolio'!A58</f>
        <v>2011</v>
      </c>
      <c r="B21" s="2">
        <f>'Rebalanced Portfolio'!I58</f>
        <v>444240.88256160135</v>
      </c>
      <c r="C21" s="2">
        <f>'Non-Rebalanced Portfolio'!I58</f>
        <v>418261.35762399988</v>
      </c>
      <c r="D21" s="64">
        <f>'Panic Portfolio'!I58</f>
        <v>275896.71421435068</v>
      </c>
    </row>
    <row r="22" spans="1:4" x14ac:dyDescent="0.25">
      <c r="A22">
        <f>'Rebalanced Portfolio'!A59</f>
        <v>2012</v>
      </c>
      <c r="B22" s="2">
        <f>'Rebalanced Portfolio'!I59</f>
        <v>500213.94205353421</v>
      </c>
      <c r="C22" s="2">
        <f>'Non-Rebalanced Portfolio'!I59</f>
        <v>475808.07356279407</v>
      </c>
      <c r="D22" s="64">
        <f>'Panic Portfolio'!I59</f>
        <v>311464.67118613946</v>
      </c>
    </row>
    <row r="23" spans="1:4" x14ac:dyDescent="0.25">
      <c r="A23">
        <f>'Rebalanced Portfolio'!A60</f>
        <v>2013</v>
      </c>
      <c r="B23" s="2">
        <f>'Rebalanced Portfolio'!I60</f>
        <v>599468.28417644533</v>
      </c>
      <c r="C23" s="2">
        <f>'Non-Rebalanced Portfolio'!I60</f>
        <v>590569.13507869025</v>
      </c>
      <c r="D23" s="64">
        <f>'Panic Portfolio'!I60</f>
        <v>376397.27483876242</v>
      </c>
    </row>
    <row r="24" spans="1:4" x14ac:dyDescent="0.25">
      <c r="A24">
        <f>'Rebalanced Portfolio'!A61</f>
        <v>2014</v>
      </c>
      <c r="B24" s="2">
        <f>'Rebalanced Portfolio'!I61</f>
        <v>641664.85669962538</v>
      </c>
      <c r="C24" s="2">
        <f>'Non-Rebalanced Portfolio'!I61</f>
        <v>643196.16221421061</v>
      </c>
      <c r="D24" s="64">
        <f>'Panic Portfolio'!I61</f>
        <v>406652.36070909887</v>
      </c>
    </row>
    <row r="25" spans="1:4" x14ac:dyDescent="0.25">
      <c r="A25">
        <f>'Rebalanced Portfolio'!A62</f>
        <v>2015</v>
      </c>
      <c r="B25" s="2">
        <f>'Rebalanced Portfolio'!I62</f>
        <v>634497.88964942249</v>
      </c>
      <c r="C25" s="2">
        <f>'Non-Rebalanced Portfolio'!I62</f>
        <v>634975.74100044963</v>
      </c>
      <c r="D25" s="64">
        <f>'Panic Portfolio'!I62</f>
        <v>402006.11547885067</v>
      </c>
    </row>
    <row r="26" spans="1:4" x14ac:dyDescent="0.25">
      <c r="A26">
        <f>'Rebalanced Portfolio'!A63</f>
        <v>2016</v>
      </c>
      <c r="B26" s="2">
        <f>'Rebalanced Portfolio'!I63</f>
        <v>686769.72716766747</v>
      </c>
      <c r="C26" s="2">
        <f>'Non-Rebalanced Portfolio'!I63</f>
        <v>699551.96273716958</v>
      </c>
      <c r="D26" s="64">
        <f>'Panic Portfolio'!I63</f>
        <v>439465.25607895426</v>
      </c>
    </row>
    <row r="27" spans="1:4" x14ac:dyDescent="0.25">
      <c r="A27">
        <f>'Rebalanced Portfolio'!A64</f>
        <v>2017</v>
      </c>
      <c r="B27" s="2">
        <f>'Rebalanced Portfolio'!I64</f>
        <v>799406.61866003159</v>
      </c>
      <c r="C27" s="2">
        <f>'Non-Rebalanced Portfolio'!I64</f>
        <v>825085.59048429294</v>
      </c>
      <c r="D27" s="64">
        <f>'Panic Portfolio'!I64</f>
        <v>515638.51384934224</v>
      </c>
    </row>
    <row r="28" spans="1:4" x14ac:dyDescent="0.25">
      <c r="A28" t="e">
        <f>'Rebalanced Portfolio'!#REF!</f>
        <v>#REF!</v>
      </c>
      <c r="B28" s="2" t="e">
        <f>'Rebalanced Portfolio'!#REF!</f>
        <v>#REF!</v>
      </c>
      <c r="C28" s="2" t="e">
        <f>'Non-Rebalanced Portfolio'!#REF!</f>
        <v>#REF!</v>
      </c>
      <c r="D28" s="64" t="e">
        <f>'Panic Portfolio'!#REF!</f>
        <v>#REF!</v>
      </c>
    </row>
    <row r="29" spans="1:4" x14ac:dyDescent="0.25">
      <c r="A29" t="e">
        <f>'Rebalanced Portfolio'!#REF!</f>
        <v>#REF!</v>
      </c>
      <c r="B29" s="2" t="e">
        <f>'Rebalanced Portfolio'!#REF!</f>
        <v>#REF!</v>
      </c>
      <c r="C29" s="2" t="e">
        <f>'Non-Rebalanced Portfolio'!#REF!</f>
        <v>#REF!</v>
      </c>
      <c r="D29" s="64" t="e">
        <f>'Panic Portfolio'!#REF!</f>
        <v>#REF!</v>
      </c>
    </row>
    <row r="30" spans="1:4" x14ac:dyDescent="0.25">
      <c r="A30" t="e">
        <f>'Rebalanced Portfolio'!#REF!</f>
        <v>#REF!</v>
      </c>
      <c r="B30" s="2" t="e">
        <f>'Rebalanced Portfolio'!#REF!</f>
        <v>#REF!</v>
      </c>
      <c r="C30" s="2" t="e">
        <f>'Non-Rebalanced Portfolio'!#REF!</f>
        <v>#REF!</v>
      </c>
      <c r="D30" s="64" t="e">
        <f>'Panic Portfolio'!#REF!</f>
        <v>#REF!</v>
      </c>
    </row>
    <row r="31" spans="1:4" x14ac:dyDescent="0.25">
      <c r="A31" t="e">
        <f>'Rebalanced Portfolio'!#REF!</f>
        <v>#REF!</v>
      </c>
      <c r="B31" s="2" t="e">
        <f>'Rebalanced Portfolio'!#REF!</f>
        <v>#REF!</v>
      </c>
      <c r="C31" s="2" t="e">
        <f>'Non-Rebalanced Portfolio'!#REF!</f>
        <v>#REF!</v>
      </c>
      <c r="D31" s="64" t="e">
        <f>'Panic Portfolio'!#REF!</f>
        <v>#REF!</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
  <sheetViews>
    <sheetView workbookViewId="0">
      <selection activeCell="B2" sqref="B2"/>
    </sheetView>
  </sheetViews>
  <sheetFormatPr defaultColWidth="8.85546875" defaultRowHeight="15" x14ac:dyDescent="0.25"/>
  <cols>
    <col min="1" max="1" width="37.140625" bestFit="1" customWidth="1"/>
    <col min="2" max="2" width="10.85546875" bestFit="1" customWidth="1"/>
  </cols>
  <sheetData>
    <row r="2" spans="1:2" x14ac:dyDescent="0.25">
      <c r="A2" t="s">
        <v>35</v>
      </c>
      <c r="B2" s="2">
        <f>Summary!B6</f>
        <v>799406.61866003159</v>
      </c>
    </row>
    <row r="3" spans="1:2" x14ac:dyDescent="0.25">
      <c r="A3" t="s">
        <v>143</v>
      </c>
      <c r="B3" s="2">
        <f>Summary!D6</f>
        <v>515638.51384934224</v>
      </c>
    </row>
  </sheetData>
  <pageMargins left="0.7" right="0.7" top="0.75" bottom="0.75" header="0.3" footer="0.3"/>
  <pageSetup orientation="portrait" r:id="rId1"/>
  <headerFoot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4"/>
  <sheetViews>
    <sheetView tabSelected="1" workbookViewId="0">
      <selection activeCell="C24" sqref="C24"/>
    </sheetView>
  </sheetViews>
  <sheetFormatPr defaultColWidth="12.42578125" defaultRowHeight="15" x14ac:dyDescent="0.25"/>
  <cols>
    <col min="1" max="1" width="50.140625" customWidth="1"/>
    <col min="2" max="3" width="14.85546875" customWidth="1"/>
    <col min="4" max="4" width="15.85546875" customWidth="1"/>
    <col min="5" max="5" width="5.28515625" customWidth="1"/>
    <col min="6" max="8" width="0" hidden="1" customWidth="1"/>
    <col min="9" max="9" width="15.85546875" customWidth="1"/>
    <col min="10" max="11" width="0" hidden="1" customWidth="1"/>
    <col min="12" max="12" width="6.28515625" customWidth="1"/>
    <col min="14" max="15" width="12.42578125" customWidth="1"/>
    <col min="257" max="257" width="50.140625" customWidth="1"/>
    <col min="258" max="258" width="14.85546875" customWidth="1"/>
    <col min="259" max="259" width="15.85546875" customWidth="1"/>
    <col min="513" max="513" width="50.140625" customWidth="1"/>
    <col min="514" max="514" width="14.85546875" customWidth="1"/>
    <col min="515" max="515" width="15.85546875" customWidth="1"/>
    <col min="769" max="769" width="50.140625" customWidth="1"/>
    <col min="770" max="770" width="14.85546875" customWidth="1"/>
    <col min="771" max="771" width="15.85546875" customWidth="1"/>
    <col min="1025" max="1025" width="50.140625" customWidth="1"/>
    <col min="1026" max="1026" width="14.85546875" customWidth="1"/>
    <col min="1027" max="1027" width="15.85546875" customWidth="1"/>
    <col min="1281" max="1281" width="50.140625" customWidth="1"/>
    <col min="1282" max="1282" width="14.85546875" customWidth="1"/>
    <col min="1283" max="1283" width="15.85546875" customWidth="1"/>
    <col min="1537" max="1537" width="50.140625" customWidth="1"/>
    <col min="1538" max="1538" width="14.85546875" customWidth="1"/>
    <col min="1539" max="1539" width="15.85546875" customWidth="1"/>
    <col min="1793" max="1793" width="50.140625" customWidth="1"/>
    <col min="1794" max="1794" width="14.85546875" customWidth="1"/>
    <col min="1795" max="1795" width="15.85546875" customWidth="1"/>
    <col min="2049" max="2049" width="50.140625" customWidth="1"/>
    <col min="2050" max="2050" width="14.85546875" customWidth="1"/>
    <col min="2051" max="2051" width="15.85546875" customWidth="1"/>
    <col min="2305" max="2305" width="50.140625" customWidth="1"/>
    <col min="2306" max="2306" width="14.85546875" customWidth="1"/>
    <col min="2307" max="2307" width="15.85546875" customWidth="1"/>
    <col min="2561" max="2561" width="50.140625" customWidth="1"/>
    <col min="2562" max="2562" width="14.85546875" customWidth="1"/>
    <col min="2563" max="2563" width="15.85546875" customWidth="1"/>
    <col min="2817" max="2817" width="50.140625" customWidth="1"/>
    <col min="2818" max="2818" width="14.85546875" customWidth="1"/>
    <col min="2819" max="2819" width="15.85546875" customWidth="1"/>
    <col min="3073" max="3073" width="50.140625" customWidth="1"/>
    <col min="3074" max="3074" width="14.85546875" customWidth="1"/>
    <col min="3075" max="3075" width="15.85546875" customWidth="1"/>
    <col min="3329" max="3329" width="50.140625" customWidth="1"/>
    <col min="3330" max="3330" width="14.85546875" customWidth="1"/>
    <col min="3331" max="3331" width="15.85546875" customWidth="1"/>
    <col min="3585" max="3585" width="50.140625" customWidth="1"/>
    <col min="3586" max="3586" width="14.85546875" customWidth="1"/>
    <col min="3587" max="3587" width="15.85546875" customWidth="1"/>
    <col min="3841" max="3841" width="50.140625" customWidth="1"/>
    <col min="3842" max="3842" width="14.85546875" customWidth="1"/>
    <col min="3843" max="3843" width="15.85546875" customWidth="1"/>
    <col min="4097" max="4097" width="50.140625" customWidth="1"/>
    <col min="4098" max="4098" width="14.85546875" customWidth="1"/>
    <col min="4099" max="4099" width="15.85546875" customWidth="1"/>
    <col min="4353" max="4353" width="50.140625" customWidth="1"/>
    <col min="4354" max="4354" width="14.85546875" customWidth="1"/>
    <col min="4355" max="4355" width="15.85546875" customWidth="1"/>
    <col min="4609" max="4609" width="50.140625" customWidth="1"/>
    <col min="4610" max="4610" width="14.85546875" customWidth="1"/>
    <col min="4611" max="4611" width="15.85546875" customWidth="1"/>
    <col min="4865" max="4865" width="50.140625" customWidth="1"/>
    <col min="4866" max="4866" width="14.85546875" customWidth="1"/>
    <col min="4867" max="4867" width="15.85546875" customWidth="1"/>
    <col min="5121" max="5121" width="50.140625" customWidth="1"/>
    <col min="5122" max="5122" width="14.85546875" customWidth="1"/>
    <col min="5123" max="5123" width="15.85546875" customWidth="1"/>
    <col min="5377" max="5377" width="50.140625" customWidth="1"/>
    <col min="5378" max="5378" width="14.85546875" customWidth="1"/>
    <col min="5379" max="5379" width="15.85546875" customWidth="1"/>
    <col min="5633" max="5633" width="50.140625" customWidth="1"/>
    <col min="5634" max="5634" width="14.85546875" customWidth="1"/>
    <col min="5635" max="5635" width="15.85546875" customWidth="1"/>
    <col min="5889" max="5889" width="50.140625" customWidth="1"/>
    <col min="5890" max="5890" width="14.85546875" customWidth="1"/>
    <col min="5891" max="5891" width="15.85546875" customWidth="1"/>
    <col min="6145" max="6145" width="50.140625" customWidth="1"/>
    <col min="6146" max="6146" width="14.85546875" customWidth="1"/>
    <col min="6147" max="6147" width="15.85546875" customWidth="1"/>
    <col min="6401" max="6401" width="50.140625" customWidth="1"/>
    <col min="6402" max="6402" width="14.85546875" customWidth="1"/>
    <col min="6403" max="6403" width="15.85546875" customWidth="1"/>
    <col min="6657" max="6657" width="50.140625" customWidth="1"/>
    <col min="6658" max="6658" width="14.85546875" customWidth="1"/>
    <col min="6659" max="6659" width="15.85546875" customWidth="1"/>
    <col min="6913" max="6913" width="50.140625" customWidth="1"/>
    <col min="6914" max="6914" width="14.85546875" customWidth="1"/>
    <col min="6915" max="6915" width="15.85546875" customWidth="1"/>
    <col min="7169" max="7169" width="50.140625" customWidth="1"/>
    <col min="7170" max="7170" width="14.85546875" customWidth="1"/>
    <col min="7171" max="7171" width="15.85546875" customWidth="1"/>
    <col min="7425" max="7425" width="50.140625" customWidth="1"/>
    <col min="7426" max="7426" width="14.85546875" customWidth="1"/>
    <col min="7427" max="7427" width="15.85546875" customWidth="1"/>
    <col min="7681" max="7681" width="50.140625" customWidth="1"/>
    <col min="7682" max="7682" width="14.85546875" customWidth="1"/>
    <col min="7683" max="7683" width="15.85546875" customWidth="1"/>
    <col min="7937" max="7937" width="50.140625" customWidth="1"/>
    <col min="7938" max="7938" width="14.85546875" customWidth="1"/>
    <col min="7939" max="7939" width="15.85546875" customWidth="1"/>
    <col min="8193" max="8193" width="50.140625" customWidth="1"/>
    <col min="8194" max="8194" width="14.85546875" customWidth="1"/>
    <col min="8195" max="8195" width="15.85546875" customWidth="1"/>
    <col min="8449" max="8449" width="50.140625" customWidth="1"/>
    <col min="8450" max="8450" width="14.85546875" customWidth="1"/>
    <col min="8451" max="8451" width="15.85546875" customWidth="1"/>
    <col min="8705" max="8705" width="50.140625" customWidth="1"/>
    <col min="8706" max="8706" width="14.85546875" customWidth="1"/>
    <col min="8707" max="8707" width="15.85546875" customWidth="1"/>
    <col min="8961" max="8961" width="50.140625" customWidth="1"/>
    <col min="8962" max="8962" width="14.85546875" customWidth="1"/>
    <col min="8963" max="8963" width="15.85546875" customWidth="1"/>
    <col min="9217" max="9217" width="50.140625" customWidth="1"/>
    <col min="9218" max="9218" width="14.85546875" customWidth="1"/>
    <col min="9219" max="9219" width="15.85546875" customWidth="1"/>
    <col min="9473" max="9473" width="50.140625" customWidth="1"/>
    <col min="9474" max="9474" width="14.85546875" customWidth="1"/>
    <col min="9475" max="9475" width="15.85546875" customWidth="1"/>
    <col min="9729" max="9729" width="50.140625" customWidth="1"/>
    <col min="9730" max="9730" width="14.85546875" customWidth="1"/>
    <col min="9731" max="9731" width="15.85546875" customWidth="1"/>
    <col min="9985" max="9985" width="50.140625" customWidth="1"/>
    <col min="9986" max="9986" width="14.85546875" customWidth="1"/>
    <col min="9987" max="9987" width="15.85546875" customWidth="1"/>
    <col min="10241" max="10241" width="50.140625" customWidth="1"/>
    <col min="10242" max="10242" width="14.85546875" customWidth="1"/>
    <col min="10243" max="10243" width="15.85546875" customWidth="1"/>
    <col min="10497" max="10497" width="50.140625" customWidth="1"/>
    <col min="10498" max="10498" width="14.85546875" customWidth="1"/>
    <col min="10499" max="10499" width="15.85546875" customWidth="1"/>
    <col min="10753" max="10753" width="50.140625" customWidth="1"/>
    <col min="10754" max="10754" width="14.85546875" customWidth="1"/>
    <col min="10755" max="10755" width="15.85546875" customWidth="1"/>
    <col min="11009" max="11009" width="50.140625" customWidth="1"/>
    <col min="11010" max="11010" width="14.85546875" customWidth="1"/>
    <col min="11011" max="11011" width="15.85546875" customWidth="1"/>
    <col min="11265" max="11265" width="50.140625" customWidth="1"/>
    <col min="11266" max="11266" width="14.85546875" customWidth="1"/>
    <col min="11267" max="11267" width="15.85546875" customWidth="1"/>
    <col min="11521" max="11521" width="50.140625" customWidth="1"/>
    <col min="11522" max="11522" width="14.85546875" customWidth="1"/>
    <col min="11523" max="11523" width="15.85546875" customWidth="1"/>
    <col min="11777" max="11777" width="50.140625" customWidth="1"/>
    <col min="11778" max="11778" width="14.85546875" customWidth="1"/>
    <col min="11779" max="11779" width="15.85546875" customWidth="1"/>
    <col min="12033" max="12033" width="50.140625" customWidth="1"/>
    <col min="12034" max="12034" width="14.85546875" customWidth="1"/>
    <col min="12035" max="12035" width="15.85546875" customWidth="1"/>
    <col min="12289" max="12289" width="50.140625" customWidth="1"/>
    <col min="12290" max="12290" width="14.85546875" customWidth="1"/>
    <col min="12291" max="12291" width="15.85546875" customWidth="1"/>
    <col min="12545" max="12545" width="50.140625" customWidth="1"/>
    <col min="12546" max="12546" width="14.85546875" customWidth="1"/>
    <col min="12547" max="12547" width="15.85546875" customWidth="1"/>
    <col min="12801" max="12801" width="50.140625" customWidth="1"/>
    <col min="12802" max="12802" width="14.85546875" customWidth="1"/>
    <col min="12803" max="12803" width="15.85546875" customWidth="1"/>
    <col min="13057" max="13057" width="50.140625" customWidth="1"/>
    <col min="13058" max="13058" width="14.85546875" customWidth="1"/>
    <col min="13059" max="13059" width="15.85546875" customWidth="1"/>
    <col min="13313" max="13313" width="50.140625" customWidth="1"/>
    <col min="13314" max="13314" width="14.85546875" customWidth="1"/>
    <col min="13315" max="13315" width="15.85546875" customWidth="1"/>
    <col min="13569" max="13569" width="50.140625" customWidth="1"/>
    <col min="13570" max="13570" width="14.85546875" customWidth="1"/>
    <col min="13571" max="13571" width="15.85546875" customWidth="1"/>
    <col min="13825" max="13825" width="50.140625" customWidth="1"/>
    <col min="13826" max="13826" width="14.85546875" customWidth="1"/>
    <col min="13827" max="13827" width="15.85546875" customWidth="1"/>
    <col min="14081" max="14081" width="50.140625" customWidth="1"/>
    <col min="14082" max="14082" width="14.85546875" customWidth="1"/>
    <col min="14083" max="14083" width="15.85546875" customWidth="1"/>
    <col min="14337" max="14337" width="50.140625" customWidth="1"/>
    <col min="14338" max="14338" width="14.85546875" customWidth="1"/>
    <col min="14339" max="14339" width="15.85546875" customWidth="1"/>
    <col min="14593" max="14593" width="50.140625" customWidth="1"/>
    <col min="14594" max="14594" width="14.85546875" customWidth="1"/>
    <col min="14595" max="14595" width="15.85546875" customWidth="1"/>
    <col min="14849" max="14849" width="50.140625" customWidth="1"/>
    <col min="14850" max="14850" width="14.85546875" customWidth="1"/>
    <col min="14851" max="14851" width="15.85546875" customWidth="1"/>
    <col min="15105" max="15105" width="50.140625" customWidth="1"/>
    <col min="15106" max="15106" width="14.85546875" customWidth="1"/>
    <col min="15107" max="15107" width="15.85546875" customWidth="1"/>
    <col min="15361" max="15361" width="50.140625" customWidth="1"/>
    <col min="15362" max="15362" width="14.85546875" customWidth="1"/>
    <col min="15363" max="15363" width="15.85546875" customWidth="1"/>
    <col min="15617" max="15617" width="50.140625" customWidth="1"/>
    <col min="15618" max="15618" width="14.85546875" customWidth="1"/>
    <col min="15619" max="15619" width="15.85546875" customWidth="1"/>
    <col min="15873" max="15873" width="50.140625" customWidth="1"/>
    <col min="15874" max="15874" width="14.85546875" customWidth="1"/>
    <col min="15875" max="15875" width="15.85546875" customWidth="1"/>
    <col min="16129" max="16129" width="50.140625" customWidth="1"/>
    <col min="16130" max="16130" width="14.85546875" customWidth="1"/>
    <col min="16131" max="16131" width="15.85546875" customWidth="1"/>
  </cols>
  <sheetData>
    <row r="1" spans="1:15" x14ac:dyDescent="0.25">
      <c r="A1" s="20" t="s">
        <v>116</v>
      </c>
    </row>
    <row r="2" spans="1:15" x14ac:dyDescent="0.25">
      <c r="A2" s="20"/>
      <c r="C2" s="79"/>
    </row>
    <row r="3" spans="1:15" x14ac:dyDescent="0.25">
      <c r="A3" s="65" t="s">
        <v>178</v>
      </c>
      <c r="C3" s="79"/>
    </row>
    <row r="5" spans="1:15" ht="45" x14ac:dyDescent="0.25">
      <c r="A5" t="s">
        <v>34</v>
      </c>
      <c r="B5" s="41" t="s">
        <v>35</v>
      </c>
      <c r="C5" s="41" t="s">
        <v>128</v>
      </c>
      <c r="D5" s="41" t="s">
        <v>115</v>
      </c>
      <c r="F5" s="41" t="s">
        <v>109</v>
      </c>
      <c r="G5" s="41" t="s">
        <v>110</v>
      </c>
      <c r="H5" s="41" t="s">
        <v>111</v>
      </c>
      <c r="I5" s="41" t="s">
        <v>155</v>
      </c>
      <c r="J5" s="72" t="s">
        <v>109</v>
      </c>
      <c r="K5" s="72" t="s">
        <v>110</v>
      </c>
      <c r="L5" s="76"/>
      <c r="M5" t="s">
        <v>154</v>
      </c>
    </row>
    <row r="6" spans="1:15" x14ac:dyDescent="0.25">
      <c r="A6" s="9" t="s">
        <v>79</v>
      </c>
      <c r="B6" s="67">
        <f>'Rebalanced Portfolio'!I65</f>
        <v>799406.61866003159</v>
      </c>
      <c r="C6" s="67">
        <f>'Non-Rebalanced Portfolio'!I65</f>
        <v>825085.59048429294</v>
      </c>
      <c r="D6" s="67">
        <f>'Panic Portfolio'!I65</f>
        <v>515638.51384934224</v>
      </c>
      <c r="E6" s="42"/>
      <c r="F6" s="6">
        <f>(B6-D6)/D6</f>
        <v>0.55032371940626579</v>
      </c>
      <c r="G6" s="6">
        <f>(C6-D6)/D6</f>
        <v>0.60012405653113032</v>
      </c>
      <c r="H6" s="6">
        <f>(B6-C6)/C6</f>
        <v>-3.1122797586598028E-2</v>
      </c>
      <c r="I6" s="67">
        <f>'Annual Rebalance Portfolio'!I65</f>
        <v>743175.7103528349</v>
      </c>
      <c r="J6" s="40">
        <f>B6-D6</f>
        <v>283768.10481068934</v>
      </c>
      <c r="K6" s="40">
        <f>C6-D6</f>
        <v>309447.0766349507</v>
      </c>
      <c r="L6" s="63"/>
    </row>
    <row r="7" spans="1:15" x14ac:dyDescent="0.25">
      <c r="A7" s="11" t="s">
        <v>36</v>
      </c>
      <c r="B7" s="70">
        <f>'Rebalanced Portfolio'!I66</f>
        <v>6.9940661866003158</v>
      </c>
      <c r="C7" s="70">
        <f>'Non-Rebalanced Portfolio'!I66</f>
        <v>7.2508559048429291</v>
      </c>
      <c r="D7" s="70">
        <f>'Panic Portfolio'!I66</f>
        <v>4.1563851384934223</v>
      </c>
      <c r="F7" s="6">
        <f>(B7-D7)/D7</f>
        <v>0.68272812878343525</v>
      </c>
      <c r="G7" s="6">
        <f>(C7-D7)/D7</f>
        <v>0.74451011233072817</v>
      </c>
      <c r="H7" s="6">
        <f t="shared" ref="H7:H11" si="0">(B7-C7)/C7</f>
        <v>-3.5415090523465038E-2</v>
      </c>
      <c r="I7" s="70">
        <f>'Annual Rebalance Portfolio'!I66</f>
        <v>6.4317571035283487</v>
      </c>
    </row>
    <row r="8" spans="1:15" x14ac:dyDescent="0.25">
      <c r="A8" s="1" t="s">
        <v>81</v>
      </c>
      <c r="B8" s="70">
        <f>'Rebalanced Portfolio'!I67</f>
        <v>0.11831599222555474</v>
      </c>
      <c r="C8" s="70">
        <f>'Non-Rebalanced Portfolio'!I67</f>
        <v>0.1334296454754319</v>
      </c>
      <c r="D8" s="70">
        <f>'Panic Portfolio'!I67</f>
        <v>0.11634834219571458</v>
      </c>
      <c r="F8" s="6">
        <f>(B8-D8)/D8</f>
        <v>1.6911715222639703E-2</v>
      </c>
      <c r="G8" s="6">
        <f>(C8-D8)/D8</f>
        <v>0.14681174615263642</v>
      </c>
      <c r="H8" s="6">
        <f t="shared" si="0"/>
        <v>-0.11327057938305028</v>
      </c>
      <c r="I8" s="70">
        <f>'Annual Rebalance Portfolio'!I67</f>
        <v>0.11866568054281591</v>
      </c>
      <c r="M8" t="s">
        <v>146</v>
      </c>
      <c r="O8" s="6">
        <f>(B8-C8)/C8</f>
        <v>-0.11327057938305028</v>
      </c>
    </row>
    <row r="9" spans="1:15" x14ac:dyDescent="0.25">
      <c r="A9" s="1" t="s">
        <v>37</v>
      </c>
      <c r="B9" s="70">
        <f>'Rebalanced Portfolio'!I68</f>
        <v>8.6702608631820111E-2</v>
      </c>
      <c r="C9" s="70">
        <f>'Non-Rebalanced Portfolio'!I68</f>
        <v>8.8077826560102546E-2</v>
      </c>
      <c r="D9" s="70">
        <f>'Panic Portfolio'!I68</f>
        <v>6.7809582579981376E-2</v>
      </c>
      <c r="F9" s="6">
        <f>(B9-D9)/D9</f>
        <v>0.2786188224880225</v>
      </c>
      <c r="G9" s="6">
        <f>(C9-D9)/D9</f>
        <v>0.29889940638131468</v>
      </c>
      <c r="H9" s="6">
        <f t="shared" si="0"/>
        <v>-1.561366784344995E-2</v>
      </c>
      <c r="I9" s="70">
        <f>'Annual Rebalance Portfolio'!I68</f>
        <v>8.3536786255703044E-2</v>
      </c>
      <c r="M9" t="s">
        <v>147</v>
      </c>
      <c r="O9" s="6">
        <f>B9-C9</f>
        <v>-1.3752179282824351E-3</v>
      </c>
    </row>
    <row r="10" spans="1:15" x14ac:dyDescent="0.25">
      <c r="A10" s="1" t="s">
        <v>83</v>
      </c>
      <c r="B10" s="68">
        <f>'Rebalanced Portfolio'!I69</f>
        <v>99254.342122911126</v>
      </c>
      <c r="C10" s="68">
        <f>'Non-Rebalanced Portfolio'!I69</f>
        <v>114761.06151589617</v>
      </c>
      <c r="D10" s="69">
        <f>'Panic Portfolio'!I69</f>
        <v>64932.603652622958</v>
      </c>
      <c r="F10" s="2">
        <f>B10-D10</f>
        <v>34321.738470288168</v>
      </c>
      <c r="G10" s="2">
        <f>C10-D10</f>
        <v>49828.457863273215</v>
      </c>
      <c r="H10" s="2">
        <f>B10-C10</f>
        <v>-15506.719392985047</v>
      </c>
      <c r="I10" s="69">
        <f>'Annual Rebalance Portfolio'!I69</f>
        <v>91282.422195472347</v>
      </c>
    </row>
    <row r="11" spans="1:15" x14ac:dyDescent="0.25">
      <c r="A11" s="1" t="s">
        <v>38</v>
      </c>
      <c r="B11" s="6">
        <f>'Rebalanced Portfolio'!I70</f>
        <v>0.19842378186309861</v>
      </c>
      <c r="C11" s="6">
        <f>'Non-Rebalanced Portfolio'!I70</f>
        <v>0.24119191727155667</v>
      </c>
      <c r="D11" s="12">
        <f>'Panic Portfolio'!I70</f>
        <v>0.20847502031399745</v>
      </c>
      <c r="F11" s="6">
        <f>(B11-D11)/D11</f>
        <v>-4.8213154917841131E-2</v>
      </c>
      <c r="G11" s="6">
        <f>(C11-D11)/D11</f>
        <v>0.15693437471924562</v>
      </c>
      <c r="H11" s="6">
        <f t="shared" si="0"/>
        <v>-0.17731993630742462</v>
      </c>
      <c r="I11" s="12">
        <f>'Annual Rebalance Portfolio'!I70</f>
        <v>0.19527999999999993</v>
      </c>
    </row>
    <row r="12" spans="1:15" x14ac:dyDescent="0.25">
      <c r="A12" s="1" t="s">
        <v>106</v>
      </c>
      <c r="B12" s="6">
        <f>'Rebalanced Portfolio'!I74</f>
        <v>0.74693129618923693</v>
      </c>
      <c r="C12" s="6">
        <f>'Non-Rebalanced Portfolio'!I74</f>
        <v>0.86789470417186521</v>
      </c>
      <c r="D12" s="12">
        <f>'Panic Portfolio'!I74</f>
        <v>0.81519301541872791</v>
      </c>
      <c r="I12" s="12">
        <f>'Annual Rebalance Portfolio'!I74</f>
        <v>0.73330927463009754</v>
      </c>
    </row>
    <row r="13" spans="1:15" x14ac:dyDescent="0.25">
      <c r="A13" s="1" t="s">
        <v>107</v>
      </c>
      <c r="B13" s="6">
        <f>'Rebalanced Portfolio'!I75</f>
        <v>0.25306870381076296</v>
      </c>
      <c r="C13" s="6">
        <f>'Non-Rebalanced Portfolio'!I75</f>
        <v>0.13210529582813468</v>
      </c>
      <c r="D13" s="12">
        <f>'Panic Portfolio'!I75</f>
        <v>0.18480698458127215</v>
      </c>
      <c r="I13" s="12">
        <f>'Annual Rebalance Portfolio'!I75</f>
        <v>0.26669072536990251</v>
      </c>
    </row>
    <row r="14" spans="1:15" hidden="1" x14ac:dyDescent="0.25">
      <c r="A14" s="3" t="s">
        <v>108</v>
      </c>
      <c r="B14" s="58">
        <f>B12+B13</f>
        <v>0.99999999999999989</v>
      </c>
      <c r="C14" s="58">
        <f>C12+C13</f>
        <v>0.99999999999999989</v>
      </c>
      <c r="D14" s="58">
        <f>D12+D13</f>
        <v>1</v>
      </c>
      <c r="I14" s="58">
        <f>I12+I13</f>
        <v>1</v>
      </c>
    </row>
    <row r="15" spans="1:15" x14ac:dyDescent="0.25">
      <c r="A15" s="1"/>
      <c r="B15" s="6"/>
      <c r="C15" s="6"/>
      <c r="F15" s="41"/>
      <c r="G15" s="41"/>
      <c r="H15" s="41"/>
    </row>
    <row r="16" spans="1:15" x14ac:dyDescent="0.25">
      <c r="A16" s="1"/>
      <c r="B16" s="6"/>
      <c r="C16" s="6"/>
      <c r="F16" s="6"/>
      <c r="G16" s="6"/>
      <c r="H16" s="6"/>
    </row>
    <row r="17" spans="1:15" x14ac:dyDescent="0.25">
      <c r="B17" s="6"/>
      <c r="C17" s="6"/>
      <c r="F17" s="6"/>
      <c r="G17" s="6"/>
      <c r="H17" s="6"/>
    </row>
    <row r="18" spans="1:15" x14ac:dyDescent="0.25">
      <c r="A18" s="65" t="s">
        <v>177</v>
      </c>
      <c r="F18" s="6"/>
      <c r="G18" s="6"/>
      <c r="H18" s="6"/>
    </row>
    <row r="19" spans="1:15" x14ac:dyDescent="0.25">
      <c r="F19" s="6"/>
      <c r="G19" s="6"/>
      <c r="H19" s="6"/>
    </row>
    <row r="20" spans="1:15" ht="45" x14ac:dyDescent="0.25">
      <c r="A20" t="s">
        <v>34</v>
      </c>
      <c r="B20" s="41" t="s">
        <v>35</v>
      </c>
      <c r="C20" s="41" t="s">
        <v>128</v>
      </c>
      <c r="D20" s="41" t="s">
        <v>115</v>
      </c>
      <c r="F20" s="41" t="s">
        <v>109</v>
      </c>
      <c r="G20" s="41" t="s">
        <v>110</v>
      </c>
      <c r="H20" s="41" t="s">
        <v>109</v>
      </c>
      <c r="I20" s="41" t="str">
        <f>I5</f>
        <v>Rebalancing Annually</v>
      </c>
      <c r="J20" s="72" t="s">
        <v>109</v>
      </c>
      <c r="K20" s="72" t="s">
        <v>110</v>
      </c>
      <c r="L20" s="76"/>
      <c r="M20" t="s">
        <v>154</v>
      </c>
    </row>
    <row r="21" spans="1:15" x14ac:dyDescent="0.25">
      <c r="A21" s="9" t="s">
        <v>79</v>
      </c>
      <c r="B21" s="67">
        <f>'4.5% Withdrawals-Rebalanced'!I65</f>
        <v>250950.35229495616</v>
      </c>
      <c r="C21" s="67">
        <f>'4.5% Withdrawals-No Rebalancing'!I65</f>
        <v>343321.36923912965</v>
      </c>
      <c r="D21" s="67">
        <f>'4.5% Withdrawals-Panic'!I65</f>
        <v>127287.16291583916</v>
      </c>
      <c r="E21" s="77"/>
      <c r="F21" s="6" t="e">
        <f>(#REF!-D21)/D21</f>
        <v>#REF!</v>
      </c>
      <c r="G21" s="6">
        <f>(B21-D21)/D21</f>
        <v>0.97152915145796526</v>
      </c>
      <c r="H21" s="6" t="e">
        <f>(#REF!-B21)/B21</f>
        <v>#REF!</v>
      </c>
      <c r="I21" s="67">
        <f>'4% Withdrawals-Annual Rebalance'!I70</f>
        <v>593114.59960944636</v>
      </c>
      <c r="J21" s="40" t="e">
        <f>#REF!-D21</f>
        <v>#REF!</v>
      </c>
      <c r="K21" s="40">
        <f>B21-D21</f>
        <v>123663.189379117</v>
      </c>
      <c r="L21" s="63"/>
    </row>
    <row r="22" spans="1:15" x14ac:dyDescent="0.25">
      <c r="A22" s="11" t="s">
        <v>36</v>
      </c>
      <c r="B22" s="70">
        <f>'4.5% Withdrawals-Rebalanced'!I66</f>
        <v>1.5095035229495617</v>
      </c>
      <c r="C22" s="70">
        <f>'4.5% Withdrawals-No Rebalancing'!I66</f>
        <v>2.4332136923912966</v>
      </c>
      <c r="D22" s="70">
        <f>'4.5% Withdrawals-Panic'!I66</f>
        <v>0.27287162915839158</v>
      </c>
      <c r="E22" s="77"/>
      <c r="F22" s="6" t="e">
        <f>(#REF!-D22)/D22</f>
        <v>#REF!</v>
      </c>
      <c r="G22" s="6">
        <f>(B22-D22)/D22</f>
        <v>4.5319181682803391</v>
      </c>
      <c r="H22" s="6" t="e">
        <f>(#REF!-B22)/B22</f>
        <v>#REF!</v>
      </c>
      <c r="I22" s="70">
        <f>'4% Withdrawals-Annual Rebalance'!I71</f>
        <v>4.9311459960944637</v>
      </c>
    </row>
    <row r="23" spans="1:15" x14ac:dyDescent="0.25">
      <c r="A23" s="1" t="s">
        <v>81</v>
      </c>
      <c r="B23" s="70">
        <f>'4.5% Withdrawals-Rebalanced'!I67</f>
        <v>0.11688760551964904</v>
      </c>
      <c r="C23" s="70">
        <f>'4.5% Withdrawals-No Rebalancing'!I67</f>
        <v>0.12954650425655209</v>
      </c>
      <c r="D23" s="70">
        <f>'4.5% Withdrawals-Panic'!I67</f>
        <v>0.1120332331457565</v>
      </c>
      <c r="E23" s="77"/>
      <c r="F23" s="6" t="e">
        <f>(#REF!-D23)/D23</f>
        <v>#REF!</v>
      </c>
      <c r="G23" s="6">
        <f>(B23-D23)/D23</f>
        <v>4.3329753481067039E-2</v>
      </c>
      <c r="H23" s="6" t="e">
        <f>(#REF!-B23)/B23</f>
        <v>#REF!</v>
      </c>
      <c r="I23" s="70">
        <f>'4% Withdrawals-Annual Rebalance'!I72</f>
        <v>0.10368159735863165</v>
      </c>
      <c r="M23" t="s">
        <v>146</v>
      </c>
      <c r="O23" s="6" t="e">
        <f>(#REF!-B23)/B23</f>
        <v>#REF!</v>
      </c>
    </row>
    <row r="24" spans="1:15" x14ac:dyDescent="0.25">
      <c r="A24" s="1" t="s">
        <v>37</v>
      </c>
      <c r="B24" s="70">
        <f>'4.5% Withdrawals-Rebalanced'!I68</f>
        <v>3.7489027702420907E-2</v>
      </c>
      <c r="C24" s="70">
        <f>'4.5% Withdrawals-No Rebalancing'!I68</f>
        <v>5.0577350175569302E-2</v>
      </c>
      <c r="D24" s="70">
        <f>'4.5% Withdrawals-Panic'!I68</f>
        <v>9.6977401966624743E-3</v>
      </c>
      <c r="E24" s="77"/>
      <c r="F24" s="6" t="e">
        <f>(#REF!-D24)/D24</f>
        <v>#REF!</v>
      </c>
      <c r="G24" s="6">
        <f>(B24-D24)/D24</f>
        <v>2.8657488179898802</v>
      </c>
      <c r="H24" s="6" t="e">
        <f>(#REF!-B24)/B24</f>
        <v>#REF!</v>
      </c>
      <c r="I24" s="70">
        <f>'4% Withdrawals-Annual Rebalance'!I73</f>
        <v>6.1136582809850015E-2</v>
      </c>
      <c r="M24" t="s">
        <v>147</v>
      </c>
      <c r="O24" s="6" t="e">
        <f>#REF!-B24</f>
        <v>#REF!</v>
      </c>
    </row>
    <row r="25" spans="1:15" x14ac:dyDescent="0.25">
      <c r="A25" s="1" t="s">
        <v>83</v>
      </c>
      <c r="B25" s="68">
        <f>'4.5% Withdrawals-Rebalanced'!I69</f>
        <v>28552.314047798689</v>
      </c>
      <c r="C25" s="68">
        <f>'4.5% Withdrawals-No Rebalancing'!I69</f>
        <v>47067.465747579932</v>
      </c>
      <c r="D25" s="69">
        <f>'4.5% Withdrawals-Panic'!I69</f>
        <v>13770.180770107298</v>
      </c>
      <c r="E25" s="77"/>
      <c r="F25" s="68" t="e">
        <f>#REF!-D25</f>
        <v>#REF!</v>
      </c>
      <c r="G25" s="68">
        <f>B25-D25</f>
        <v>14782.133277691391</v>
      </c>
      <c r="H25" s="68" t="e">
        <f>#REF!-B25</f>
        <v>#REF!</v>
      </c>
      <c r="I25" s="69">
        <f>'4% Withdrawals-Annual Rebalance'!I74</f>
        <v>35708.480201074563</v>
      </c>
    </row>
    <row r="26" spans="1:15" x14ac:dyDescent="0.25">
      <c r="A26" s="1" t="s">
        <v>38</v>
      </c>
      <c r="B26" s="70">
        <f>'4.5% Withdrawals-Rebalanced'!I70</f>
        <v>0.14471184360543787</v>
      </c>
      <c r="C26" s="70">
        <f>'4.5% Withdrawals-No Rebalancing'!I70</f>
        <v>0.20123708237733287</v>
      </c>
      <c r="D26" s="70">
        <f>'4.5% Withdrawals-Panic'!I70</f>
        <v>0.11696390520441598</v>
      </c>
      <c r="E26" s="77"/>
      <c r="F26" s="6" t="e">
        <f>(#REF!-D26)/D26</f>
        <v>#REF!</v>
      </c>
      <c r="G26" s="6">
        <f>(B26-D26)/D26</f>
        <v>0.23723505428898992</v>
      </c>
      <c r="H26" s="6" t="e">
        <f>(#REF!-B26)/B26</f>
        <v>#REF!</v>
      </c>
      <c r="I26" s="70">
        <f>'4% Withdrawals-Annual Rebalance'!I75</f>
        <v>0.15673200637579987</v>
      </c>
    </row>
    <row r="27" spans="1:15" x14ac:dyDescent="0.25">
      <c r="A27" s="1" t="s">
        <v>43</v>
      </c>
      <c r="B27" s="68">
        <f>'4.5% Withdrawals-Rebalanced'!I71</f>
        <v>175900.24499739174</v>
      </c>
      <c r="C27" s="68">
        <f>'4.5% Withdrawals-No Rebalancing'!I71</f>
        <v>175900.24499739174</v>
      </c>
      <c r="D27" s="69">
        <f>'4.5% Withdrawals-Panic'!I71</f>
        <v>175900.24499739174</v>
      </c>
      <c r="E27" s="77"/>
      <c r="F27" s="68" t="e">
        <f>#REF!-D27</f>
        <v>#REF!</v>
      </c>
      <c r="G27" s="68">
        <f>B27-D27</f>
        <v>0</v>
      </c>
      <c r="H27" s="68" t="e">
        <f>#REF!-B27</f>
        <v>#REF!</v>
      </c>
      <c r="I27" s="69">
        <f>'4% Withdrawals-Annual Rebalance'!I76</f>
        <v>198195.99869006357</v>
      </c>
    </row>
    <row r="28" spans="1:15" x14ac:dyDescent="0.25">
      <c r="A28" t="str">
        <f>A12</f>
        <v>Ending Equity Allocation</v>
      </c>
      <c r="B28" s="6">
        <f>'4.5% Withdrawals-Rebalanced'!I76</f>
        <v>0.73096877889660816</v>
      </c>
      <c r="C28" s="24">
        <f>'4.5% Withdrawals-No Rebalancing'!I76</f>
        <v>0.86929185327920389</v>
      </c>
      <c r="D28" s="12">
        <f>'4.5% Withdrawals-Panic'!I76</f>
        <v>0.78907559169304187</v>
      </c>
      <c r="E28" s="77"/>
      <c r="F28" s="78"/>
      <c r="G28" s="6"/>
      <c r="H28" s="78"/>
      <c r="I28" s="70">
        <f>SUM('4% Withdrawals-Annual Rebalance'!AH69:AM69)</f>
        <v>0.7323264040614692</v>
      </c>
    </row>
    <row r="29" spans="1:15" x14ac:dyDescent="0.25">
      <c r="A29" t="str">
        <f t="shared" ref="A29:A30" si="1">A13</f>
        <v>Ending Fixed-Income Allocation</v>
      </c>
      <c r="B29" s="6">
        <f>'4.5% Withdrawals-Rebalanced'!I77</f>
        <v>0.26903122110339184</v>
      </c>
      <c r="C29" s="24">
        <f>'4.5% Withdrawals-No Rebalancing'!I77</f>
        <v>0.13070814672079614</v>
      </c>
      <c r="D29" s="12">
        <f>'4.5% Withdrawals-Panic'!I77</f>
        <v>0.21092440830695808</v>
      </c>
      <c r="E29" s="77"/>
      <c r="F29" s="77"/>
      <c r="G29" s="77"/>
      <c r="H29" s="77"/>
      <c r="I29" s="12">
        <f>'4% Withdrawals-Annual Rebalance'!AN69</f>
        <v>0.26767359593853085</v>
      </c>
    </row>
    <row r="30" spans="1:15" hidden="1" x14ac:dyDescent="0.25">
      <c r="A30" s="3" t="str">
        <f t="shared" si="1"/>
        <v>Allocation Check</v>
      </c>
      <c r="B30" s="66" t="e">
        <f>SUM(#REF!)</f>
        <v>#REF!</v>
      </c>
      <c r="C30" s="66">
        <f>SUM(B28:B29)</f>
        <v>1</v>
      </c>
      <c r="D30" s="66">
        <f>SUM(D28:D29)</f>
        <v>1</v>
      </c>
      <c r="I30" s="66">
        <f>SUM(I28:I29)</f>
        <v>1</v>
      </c>
    </row>
    <row r="34" spans="5:5" x14ac:dyDescent="0.25">
      <c r="E34" s="20"/>
    </row>
  </sheetData>
  <phoneticPr fontId="11" type="noConversion"/>
  <pageMargins left="0.45" right="0.45" top="0.5" bottom="0.5" header="0.3" footer="0.3"/>
  <pageSetup orientation="landscape" horizontalDpi="4294967293" verticalDpi="4294967293"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76"/>
  <sheetViews>
    <sheetView topLeftCell="A59" workbookViewId="0">
      <selection activeCell="A74" sqref="A74:I76"/>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9" x14ac:dyDescent="0.25">
      <c r="A1" s="20" t="s">
        <v>50</v>
      </c>
    </row>
    <row r="2" spans="1:9" x14ac:dyDescent="0.25">
      <c r="A2" s="14"/>
      <c r="B2" s="14" t="s">
        <v>51</v>
      </c>
      <c r="C2" s="14" t="s">
        <v>52</v>
      </c>
      <c r="D2" s="14" t="s">
        <v>53</v>
      </c>
      <c r="E2" s="14" t="s">
        <v>54</v>
      </c>
      <c r="F2" s="14" t="s">
        <v>61</v>
      </c>
      <c r="G2" s="14" t="s">
        <v>63</v>
      </c>
      <c r="H2" s="14" t="s">
        <v>64</v>
      </c>
    </row>
    <row r="3" spans="1:9" x14ac:dyDescent="0.25">
      <c r="A3" s="14" t="s">
        <v>49</v>
      </c>
      <c r="B3" s="14" t="s">
        <v>55</v>
      </c>
      <c r="C3" s="14" t="s">
        <v>56</v>
      </c>
      <c r="D3" s="14" t="s">
        <v>57</v>
      </c>
      <c r="E3" s="14" t="s">
        <v>58</v>
      </c>
      <c r="F3" s="14" t="s">
        <v>62</v>
      </c>
      <c r="G3" s="14" t="s">
        <v>65</v>
      </c>
      <c r="H3" s="14" t="s">
        <v>66</v>
      </c>
      <c r="I3" s="14" t="s">
        <v>49</v>
      </c>
    </row>
    <row r="4" spans="1:9" x14ac:dyDescent="0.25">
      <c r="A4" s="14">
        <v>1993</v>
      </c>
      <c r="B4" s="14">
        <v>9.89</v>
      </c>
      <c r="C4" s="14">
        <v>14.49</v>
      </c>
      <c r="D4" s="14"/>
      <c r="E4" s="14"/>
      <c r="F4" s="14">
        <v>30.494</v>
      </c>
      <c r="G4" s="14"/>
      <c r="H4" s="14">
        <v>9.68</v>
      </c>
      <c r="I4">
        <v>1</v>
      </c>
    </row>
    <row r="5" spans="1:9" x14ac:dyDescent="0.25">
      <c r="A5" s="14">
        <v>1994</v>
      </c>
      <c r="B5" s="14">
        <v>1.18</v>
      </c>
      <c r="C5" s="14">
        <v>-1.764</v>
      </c>
      <c r="D5" s="14"/>
      <c r="E5" s="14"/>
      <c r="F5" s="14">
        <v>5.2549999999999999</v>
      </c>
      <c r="G5" s="14"/>
      <c r="H5" s="14">
        <v>-2.66</v>
      </c>
      <c r="I5">
        <f>I4+1</f>
        <v>2</v>
      </c>
    </row>
    <row r="6" spans="1:9" x14ac:dyDescent="0.25">
      <c r="A6" s="14">
        <v>1995</v>
      </c>
      <c r="B6" s="14">
        <v>37.450000000000003</v>
      </c>
      <c r="C6" s="14">
        <v>33.796999999999997</v>
      </c>
      <c r="D6" s="14"/>
      <c r="E6" s="14"/>
      <c r="F6" s="14">
        <v>9.6460000000000008</v>
      </c>
      <c r="G6" s="14"/>
      <c r="H6" s="14">
        <v>18.18</v>
      </c>
      <c r="I6">
        <f t="shared" ref="I6:I28" si="0">I5+1</f>
        <v>3</v>
      </c>
    </row>
    <row r="7" spans="1:9" x14ac:dyDescent="0.25">
      <c r="A7" s="14">
        <v>1996</v>
      </c>
      <c r="B7" s="14">
        <v>22.88</v>
      </c>
      <c r="C7" s="14">
        <v>17.646999999999998</v>
      </c>
      <c r="D7" s="14"/>
      <c r="E7" s="14"/>
      <c r="F7" s="14">
        <v>10.218999999999999</v>
      </c>
      <c r="G7" s="14"/>
      <c r="H7" s="14">
        <v>3.58</v>
      </c>
      <c r="I7">
        <f t="shared" si="0"/>
        <v>4</v>
      </c>
    </row>
    <row r="8" spans="1:9" x14ac:dyDescent="0.25">
      <c r="A8" s="14">
        <v>1997</v>
      </c>
      <c r="B8" s="14">
        <v>33.19</v>
      </c>
      <c r="C8" s="14">
        <v>26.687000000000001</v>
      </c>
      <c r="D8" s="14"/>
      <c r="E8" s="14"/>
      <c r="F8" s="14"/>
      <c r="G8" s="16">
        <v>-0.77500000000000002</v>
      </c>
      <c r="H8" s="14">
        <v>9.44</v>
      </c>
      <c r="I8">
        <f t="shared" si="0"/>
        <v>5</v>
      </c>
    </row>
    <row r="9" spans="1:9" x14ac:dyDescent="0.25">
      <c r="A9" s="14">
        <v>1998</v>
      </c>
      <c r="B9" s="14">
        <v>28.66</v>
      </c>
      <c r="C9" s="14">
        <v>8.3529999999999998</v>
      </c>
      <c r="D9" s="14"/>
      <c r="E9" s="14"/>
      <c r="F9" s="14"/>
      <c r="G9" s="14">
        <v>15.603</v>
      </c>
      <c r="H9" s="14">
        <v>8.58</v>
      </c>
      <c r="I9">
        <f t="shared" si="0"/>
        <v>6</v>
      </c>
    </row>
    <row r="10" spans="1:9" x14ac:dyDescent="0.25">
      <c r="A10" s="14">
        <v>1999</v>
      </c>
      <c r="B10" s="14">
        <v>21.07</v>
      </c>
      <c r="C10" s="14"/>
      <c r="D10" s="16">
        <v>15.319000000000001</v>
      </c>
      <c r="E10" s="16">
        <v>23.132999999999999</v>
      </c>
      <c r="F10" s="14"/>
      <c r="G10" s="14">
        <v>29.919</v>
      </c>
      <c r="H10" s="14">
        <v>-0.76</v>
      </c>
      <c r="I10">
        <f t="shared" si="0"/>
        <v>7</v>
      </c>
    </row>
    <row r="11" spans="1:9" x14ac:dyDescent="0.25">
      <c r="A11" s="14">
        <v>2000</v>
      </c>
      <c r="B11" s="14">
        <v>-9.06</v>
      </c>
      <c r="C11" s="14"/>
      <c r="D11" s="14">
        <v>18.097999999999999</v>
      </c>
      <c r="E11" s="14">
        <v>-2.665</v>
      </c>
      <c r="F11" s="14"/>
      <c r="G11" s="14">
        <v>-15.614000000000001</v>
      </c>
      <c r="H11" s="14">
        <v>11.39</v>
      </c>
      <c r="I11">
        <f t="shared" si="0"/>
        <v>8</v>
      </c>
    </row>
    <row r="12" spans="1:9" x14ac:dyDescent="0.25">
      <c r="A12" s="14">
        <v>2001</v>
      </c>
      <c r="B12" s="14">
        <v>-12.02</v>
      </c>
      <c r="C12" s="14"/>
      <c r="D12" s="14">
        <v>-0.499</v>
      </c>
      <c r="E12" s="14">
        <v>3.1</v>
      </c>
      <c r="F12" s="14"/>
      <c r="G12" s="14">
        <v>-20.152999999999999</v>
      </c>
      <c r="H12" s="14">
        <v>8.43</v>
      </c>
      <c r="I12">
        <f t="shared" si="0"/>
        <v>9</v>
      </c>
    </row>
    <row r="13" spans="1:9" x14ac:dyDescent="0.25">
      <c r="A13" s="14">
        <v>2002</v>
      </c>
      <c r="B13" s="14">
        <v>-22.15</v>
      </c>
      <c r="C13" s="14"/>
      <c r="D13" s="14">
        <v>-14.608000000000001</v>
      </c>
      <c r="E13" s="14">
        <v>-20.021999999999998</v>
      </c>
      <c r="F13" s="14"/>
      <c r="G13" s="14">
        <v>-15.083</v>
      </c>
      <c r="H13" s="14">
        <v>8.26</v>
      </c>
      <c r="I13">
        <f t="shared" si="0"/>
        <v>10</v>
      </c>
    </row>
    <row r="14" spans="1:9" x14ac:dyDescent="0.25">
      <c r="A14" s="14">
        <v>2003</v>
      </c>
      <c r="B14" s="14">
        <v>28.5</v>
      </c>
      <c r="C14" s="14"/>
      <c r="D14" s="14">
        <v>34.142000000000003</v>
      </c>
      <c r="E14" s="14">
        <v>45.628</v>
      </c>
      <c r="F14" s="14"/>
      <c r="G14" s="14">
        <v>40.340000000000003</v>
      </c>
      <c r="H14" s="14">
        <v>3.97</v>
      </c>
      <c r="I14">
        <f t="shared" si="0"/>
        <v>11</v>
      </c>
    </row>
    <row r="15" spans="1:9" x14ac:dyDescent="0.25">
      <c r="A15" s="14">
        <v>2004</v>
      </c>
      <c r="B15" s="14">
        <v>10.74</v>
      </c>
      <c r="C15" s="14"/>
      <c r="D15" s="14">
        <v>20.353000000000002</v>
      </c>
      <c r="E15" s="14">
        <v>19.896999999999998</v>
      </c>
      <c r="F15" s="14"/>
      <c r="G15" s="14">
        <v>20.837</v>
      </c>
      <c r="H15" s="14">
        <v>4.24</v>
      </c>
      <c r="I15">
        <f t="shared" si="0"/>
        <v>12</v>
      </c>
    </row>
    <row r="16" spans="1:9" x14ac:dyDescent="0.25">
      <c r="A16" s="14">
        <v>2005</v>
      </c>
      <c r="B16" s="14">
        <v>4.7699999999999996</v>
      </c>
      <c r="C16" s="14"/>
      <c r="D16" s="14">
        <v>13.930999999999999</v>
      </c>
      <c r="E16" s="14">
        <v>7.3630000000000004</v>
      </c>
      <c r="F16" s="14"/>
      <c r="G16" s="14">
        <v>15.571</v>
      </c>
      <c r="H16" s="14">
        <v>2.4</v>
      </c>
      <c r="I16">
        <f t="shared" si="0"/>
        <v>13</v>
      </c>
    </row>
    <row r="17" spans="1:9" x14ac:dyDescent="0.25">
      <c r="A17" s="14">
        <v>2006</v>
      </c>
      <c r="B17" s="14">
        <v>15.64</v>
      </c>
      <c r="C17" s="14"/>
      <c r="D17" s="14">
        <v>13.597</v>
      </c>
      <c r="E17" s="14">
        <v>15.656000000000001</v>
      </c>
      <c r="F17" s="14"/>
      <c r="G17" s="14">
        <v>26.637</v>
      </c>
      <c r="H17" s="14">
        <v>4.2699999999999996</v>
      </c>
      <c r="I17">
        <f t="shared" si="0"/>
        <v>14</v>
      </c>
    </row>
    <row r="18" spans="1:9" x14ac:dyDescent="0.25">
      <c r="A18" s="14">
        <v>2007</v>
      </c>
      <c r="B18" s="14">
        <v>5.39</v>
      </c>
      <c r="C18" s="14"/>
      <c r="D18" s="14">
        <v>6.0209999999999999</v>
      </c>
      <c r="E18" s="14">
        <v>1.1559999999999999</v>
      </c>
      <c r="F18" s="14"/>
      <c r="G18" s="14">
        <v>15.522</v>
      </c>
      <c r="H18" s="14">
        <v>6.92</v>
      </c>
      <c r="I18">
        <f t="shared" si="0"/>
        <v>15</v>
      </c>
    </row>
    <row r="19" spans="1:9" x14ac:dyDescent="0.25">
      <c r="A19" s="14">
        <v>2008</v>
      </c>
      <c r="B19" s="14">
        <v>-37.020000000000003</v>
      </c>
      <c r="C19" s="14"/>
      <c r="D19" s="14">
        <v>-41.823999999999998</v>
      </c>
      <c r="E19" s="14">
        <v>-36.07</v>
      </c>
      <c r="F19" s="14"/>
      <c r="G19" s="14">
        <v>-44.100999999999999</v>
      </c>
      <c r="H19" s="14">
        <v>5.05</v>
      </c>
      <c r="I19">
        <f t="shared" si="0"/>
        <v>16</v>
      </c>
    </row>
    <row r="20" spans="1:9" x14ac:dyDescent="0.25">
      <c r="A20" s="14">
        <v>2009</v>
      </c>
      <c r="B20" s="14">
        <v>26.49</v>
      </c>
      <c r="C20" s="14"/>
      <c r="D20" s="14">
        <v>40.218000000000004</v>
      </c>
      <c r="E20" s="14">
        <v>36.118000000000002</v>
      </c>
      <c r="F20" s="14"/>
      <c r="G20" s="14">
        <v>36.726999999999997</v>
      </c>
      <c r="H20" s="14">
        <v>5.93</v>
      </c>
      <c r="I20">
        <f t="shared" si="0"/>
        <v>17</v>
      </c>
    </row>
    <row r="21" spans="1:9" x14ac:dyDescent="0.25">
      <c r="A21" s="14">
        <v>2010</v>
      </c>
      <c r="B21" s="14">
        <v>14.91</v>
      </c>
      <c r="C21" s="14"/>
      <c r="D21" s="14">
        <v>25.46</v>
      </c>
      <c r="E21" s="14">
        <v>27.72</v>
      </c>
      <c r="F21" s="14"/>
      <c r="G21" s="14">
        <v>11.12</v>
      </c>
      <c r="H21" s="14">
        <v>6.42</v>
      </c>
      <c r="I21">
        <f t="shared" si="0"/>
        <v>18</v>
      </c>
    </row>
    <row r="22" spans="1:9" x14ac:dyDescent="0.25">
      <c r="A22" s="14">
        <v>2011</v>
      </c>
      <c r="B22" s="14">
        <v>1.97</v>
      </c>
      <c r="C22" s="14"/>
      <c r="D22" s="14">
        <v>-2.11</v>
      </c>
      <c r="E22" s="15">
        <v>-2.8</v>
      </c>
      <c r="F22" s="14"/>
      <c r="G22" s="14">
        <v>-14.56</v>
      </c>
      <c r="H22" s="14">
        <v>7.56</v>
      </c>
      <c r="I22">
        <f t="shared" si="0"/>
        <v>19</v>
      </c>
    </row>
    <row r="23" spans="1:9" x14ac:dyDescent="0.25">
      <c r="A23" s="14">
        <v>2012</v>
      </c>
      <c r="B23" s="15">
        <v>15.82</v>
      </c>
      <c r="C23" s="15"/>
      <c r="D23" s="15">
        <v>15.8</v>
      </c>
      <c r="E23" s="15">
        <v>18.04</v>
      </c>
      <c r="F23" s="15"/>
      <c r="G23" s="15">
        <v>18.14</v>
      </c>
      <c r="H23" s="15">
        <v>4.05</v>
      </c>
      <c r="I23">
        <f t="shared" si="0"/>
        <v>20</v>
      </c>
    </row>
    <row r="24" spans="1:9" x14ac:dyDescent="0.25">
      <c r="A24" s="14">
        <v>2013</v>
      </c>
      <c r="B24" s="15">
        <v>32.18</v>
      </c>
      <c r="C24" s="15"/>
      <c r="D24" s="15">
        <v>35</v>
      </c>
      <c r="E24" s="15">
        <v>37.619999999999997</v>
      </c>
      <c r="F24" s="15"/>
      <c r="G24" s="15">
        <v>15.04</v>
      </c>
      <c r="H24" s="15">
        <v>-2.2599999999999998</v>
      </c>
      <c r="I24">
        <f t="shared" si="0"/>
        <v>21</v>
      </c>
    </row>
    <row r="25" spans="1:9" x14ac:dyDescent="0.25">
      <c r="A25" s="14">
        <v>2014</v>
      </c>
      <c r="B25" s="15">
        <v>13.51</v>
      </c>
      <c r="C25" s="15"/>
      <c r="D25" s="15">
        <v>13.6</v>
      </c>
      <c r="E25" s="15">
        <v>7.37</v>
      </c>
      <c r="F25" s="15"/>
      <c r="G25" s="15">
        <v>-4.24</v>
      </c>
      <c r="H25" s="15">
        <v>5.76</v>
      </c>
      <c r="I25">
        <f t="shared" si="0"/>
        <v>22</v>
      </c>
    </row>
    <row r="26" spans="1:9" x14ac:dyDescent="0.25">
      <c r="A26" s="14">
        <v>2015</v>
      </c>
      <c r="B26" s="15">
        <v>1.25</v>
      </c>
      <c r="C26" s="15"/>
      <c r="D26" s="15">
        <v>-1.46</v>
      </c>
      <c r="E26" s="15">
        <v>-3.78</v>
      </c>
      <c r="F26" s="15"/>
      <c r="G26" s="15">
        <v>-4.37</v>
      </c>
      <c r="H26" s="15">
        <v>0.3</v>
      </c>
      <c r="I26">
        <f t="shared" si="0"/>
        <v>23</v>
      </c>
    </row>
    <row r="27" spans="1:9" x14ac:dyDescent="0.25">
      <c r="A27" s="14">
        <v>2016</v>
      </c>
      <c r="B27" s="15">
        <v>11.82</v>
      </c>
      <c r="C27" s="15"/>
      <c r="D27" s="15">
        <v>11.07</v>
      </c>
      <c r="E27" s="15">
        <v>18.170000000000002</v>
      </c>
      <c r="F27" s="15"/>
      <c r="G27" s="15">
        <v>4.6500000000000004</v>
      </c>
      <c r="H27" s="15">
        <v>2.5</v>
      </c>
      <c r="I27">
        <f t="shared" si="0"/>
        <v>24</v>
      </c>
    </row>
    <row r="28" spans="1:9" x14ac:dyDescent="0.25">
      <c r="A28" s="14">
        <v>2017</v>
      </c>
      <c r="B28" s="15">
        <v>21.67</v>
      </c>
      <c r="C28" s="15"/>
      <c r="D28" s="15">
        <v>19.600000000000001</v>
      </c>
      <c r="E28" s="15">
        <v>16.100000000000001</v>
      </c>
      <c r="F28" s="15"/>
      <c r="G28" s="15">
        <v>27.4</v>
      </c>
      <c r="H28" s="15">
        <v>3.46</v>
      </c>
      <c r="I28">
        <f t="shared" si="0"/>
        <v>25</v>
      </c>
    </row>
    <row r="29" spans="1:9" x14ac:dyDescent="0.25">
      <c r="A29" s="14">
        <v>2017</v>
      </c>
      <c r="B29" s="15">
        <v>21.67</v>
      </c>
      <c r="C29" s="15"/>
      <c r="D29" s="15">
        <v>19.600000000000001</v>
      </c>
      <c r="E29" s="15">
        <v>16.100000000000001</v>
      </c>
      <c r="F29" s="15"/>
      <c r="G29" s="15">
        <v>27.4</v>
      </c>
      <c r="H29" s="15">
        <v>3.46</v>
      </c>
    </row>
    <row r="30" spans="1:9" x14ac:dyDescent="0.25">
      <c r="A30" s="14">
        <v>2017</v>
      </c>
      <c r="B30" s="15">
        <v>21.67</v>
      </c>
      <c r="C30" s="15"/>
      <c r="D30" s="15">
        <v>19.600000000000001</v>
      </c>
      <c r="E30" s="15">
        <v>16.100000000000001</v>
      </c>
      <c r="F30" s="15"/>
      <c r="G30" s="15">
        <v>27.4</v>
      </c>
      <c r="H30" s="15">
        <v>3.46</v>
      </c>
    </row>
    <row r="31" spans="1:9" x14ac:dyDescent="0.25">
      <c r="A31" s="14">
        <v>2017</v>
      </c>
      <c r="B31" s="15">
        <v>21.67</v>
      </c>
      <c r="C31" s="15"/>
      <c r="D31" s="15">
        <v>19.600000000000001</v>
      </c>
      <c r="E31" s="15">
        <v>16.100000000000001</v>
      </c>
      <c r="F31" s="15"/>
      <c r="G31" s="15">
        <v>27.4</v>
      </c>
      <c r="H31" s="15">
        <v>3.46</v>
      </c>
    </row>
    <row r="32" spans="1:9" x14ac:dyDescent="0.25">
      <c r="A32" s="14">
        <v>2017</v>
      </c>
      <c r="B32" s="15">
        <v>21.67</v>
      </c>
      <c r="C32" s="15"/>
      <c r="D32" s="15">
        <v>19.600000000000001</v>
      </c>
      <c r="E32" s="15">
        <v>16.100000000000001</v>
      </c>
      <c r="F32" s="15"/>
      <c r="G32" s="15">
        <v>27.4</v>
      </c>
      <c r="H32" s="15">
        <v>3.46</v>
      </c>
    </row>
    <row r="33" spans="1:25" x14ac:dyDescent="0.25">
      <c r="A33" s="14">
        <v>2017</v>
      </c>
      <c r="B33" s="15">
        <v>21.67</v>
      </c>
      <c r="C33" s="15"/>
      <c r="D33" s="15">
        <v>19.600000000000001</v>
      </c>
      <c r="E33" s="15">
        <v>16.100000000000001</v>
      </c>
      <c r="F33" s="15"/>
      <c r="G33" s="15">
        <v>27.4</v>
      </c>
      <c r="H33" s="15">
        <v>3.46</v>
      </c>
    </row>
    <row r="36" spans="1:25" x14ac:dyDescent="0.25">
      <c r="A36" s="20" t="s">
        <v>124</v>
      </c>
      <c r="O36" s="20" t="s">
        <v>131</v>
      </c>
    </row>
    <row r="37" spans="1:25" x14ac:dyDescent="0.25">
      <c r="B37" s="4" t="str">
        <f t="shared" ref="B37:H38" si="1">B2</f>
        <v>LC Stocks</v>
      </c>
      <c r="C37" s="4" t="str">
        <f t="shared" si="1"/>
        <v>Ext Mkt</v>
      </c>
      <c r="D37" s="4" t="str">
        <f t="shared" si="1"/>
        <v>Mcap Stk</v>
      </c>
      <c r="E37" s="4" t="str">
        <f t="shared" si="1"/>
        <v>Small Cap</v>
      </c>
      <c r="F37" s="4" t="str">
        <f t="shared" si="1"/>
        <v>Intl Val</v>
      </c>
      <c r="G37" s="4" t="str">
        <f t="shared" si="1"/>
        <v>Tot Int Stk</v>
      </c>
      <c r="H37" s="4" t="str">
        <f t="shared" si="1"/>
        <v>Bonds</v>
      </c>
      <c r="I37" s="5"/>
      <c r="J37" s="5" t="s">
        <v>77</v>
      </c>
      <c r="K37" s="5" t="s">
        <v>74</v>
      </c>
      <c r="L37" s="5" t="s">
        <v>75</v>
      </c>
      <c r="P37" s="4" t="str">
        <f>B37</f>
        <v>LC Stocks</v>
      </c>
      <c r="Q37" s="4" t="str">
        <f t="shared" ref="Q37:V38" si="2">C37</f>
        <v>Ext Mkt</v>
      </c>
      <c r="R37" s="4" t="str">
        <f t="shared" si="2"/>
        <v>Mcap Stk</v>
      </c>
      <c r="S37" s="4" t="str">
        <f t="shared" si="2"/>
        <v>Small Cap</v>
      </c>
      <c r="T37" s="4" t="str">
        <f t="shared" si="2"/>
        <v>Intl Val</v>
      </c>
      <c r="U37" s="4" t="str">
        <f t="shared" si="2"/>
        <v>Tot Int Stk</v>
      </c>
      <c r="V37" s="4" t="str">
        <f t="shared" si="2"/>
        <v>Bonds</v>
      </c>
      <c r="W37" s="5"/>
      <c r="X37" s="5" t="s">
        <v>112</v>
      </c>
      <c r="Y37" s="3" t="s">
        <v>113</v>
      </c>
    </row>
    <row r="38" spans="1:25" x14ac:dyDescent="0.25">
      <c r="A38" t="s">
        <v>73</v>
      </c>
      <c r="B38" s="4" t="str">
        <f t="shared" si="1"/>
        <v>VFINX</v>
      </c>
      <c r="C38" s="4" t="str">
        <f t="shared" si="1"/>
        <v>VEXMX</v>
      </c>
      <c r="D38" s="4" t="str">
        <f t="shared" si="1"/>
        <v>VIMSX</v>
      </c>
      <c r="E38" s="4" t="str">
        <f t="shared" si="1"/>
        <v>NAESX</v>
      </c>
      <c r="F38" s="4" t="str">
        <f t="shared" si="1"/>
        <v>VTRIX</v>
      </c>
      <c r="G38" s="4" t="str">
        <f t="shared" si="1"/>
        <v>VGTSX</v>
      </c>
      <c r="H38" s="4" t="str">
        <f t="shared" si="1"/>
        <v>VBMFX</v>
      </c>
      <c r="I38" s="5" t="s">
        <v>71</v>
      </c>
      <c r="J38" s="5" t="s">
        <v>78</v>
      </c>
      <c r="K38" s="5" t="s">
        <v>76</v>
      </c>
      <c r="L38" s="5" t="s">
        <v>76</v>
      </c>
      <c r="O38" t="s">
        <v>73</v>
      </c>
      <c r="P38" s="4" t="str">
        <f>B38</f>
        <v>VFINX</v>
      </c>
      <c r="Q38" s="4" t="str">
        <f t="shared" si="2"/>
        <v>VEXMX</v>
      </c>
      <c r="R38" s="4" t="str">
        <f t="shared" si="2"/>
        <v>VIMSX</v>
      </c>
      <c r="S38" s="4" t="str">
        <f t="shared" si="2"/>
        <v>NAESX</v>
      </c>
      <c r="T38" s="4" t="str">
        <f t="shared" si="2"/>
        <v>VTRIX</v>
      </c>
      <c r="U38" s="4" t="str">
        <f t="shared" si="2"/>
        <v>VGTSX</v>
      </c>
      <c r="V38" s="4" t="str">
        <f t="shared" si="2"/>
        <v>VBMFX</v>
      </c>
      <c r="W38" s="5" t="s">
        <v>71</v>
      </c>
      <c r="X38" s="5" t="s">
        <v>113</v>
      </c>
      <c r="Y38" s="3" t="s">
        <v>88</v>
      </c>
    </row>
    <row r="39" spans="1:25" x14ac:dyDescent="0.25">
      <c r="A39" t="s">
        <v>72</v>
      </c>
      <c r="B39" s="31">
        <v>20000</v>
      </c>
      <c r="C39" s="31">
        <v>30000</v>
      </c>
      <c r="F39" s="31">
        <v>20000</v>
      </c>
      <c r="H39" s="31">
        <v>30000</v>
      </c>
      <c r="I39" s="2">
        <f>SUM(B39:H39)</f>
        <v>100000</v>
      </c>
      <c r="O39" s="21" t="s">
        <v>87</v>
      </c>
      <c r="P39" s="22">
        <f>B39/$I39</f>
        <v>0.2</v>
      </c>
      <c r="Q39" s="22">
        <f>C39/$I39</f>
        <v>0.3</v>
      </c>
      <c r="R39" s="23">
        <v>0.2</v>
      </c>
      <c r="S39" s="23">
        <v>0.1</v>
      </c>
      <c r="T39" s="22">
        <f>F39/$I39</f>
        <v>0.2</v>
      </c>
      <c r="U39" s="23">
        <v>0.2</v>
      </c>
      <c r="V39" s="22">
        <f>H39/$I39</f>
        <v>0.3</v>
      </c>
      <c r="W39" s="6">
        <f>I39/$I39</f>
        <v>1</v>
      </c>
      <c r="X39" s="24"/>
    </row>
    <row r="40" spans="1:25" x14ac:dyDescent="0.25">
      <c r="A40">
        <f t="shared" ref="A40:A64" si="3">A4</f>
        <v>1993</v>
      </c>
      <c r="B40" s="2">
        <f t="shared" ref="B40:B50" si="4">B39*(1+(B4/100))</f>
        <v>21978</v>
      </c>
      <c r="C40" s="2">
        <f t="shared" ref="C40:E51" si="5">C39*(1+(C4/100))</f>
        <v>34347</v>
      </c>
      <c r="D40" s="2"/>
      <c r="E40" s="2"/>
      <c r="F40" s="2">
        <f t="shared" ref="F40:F43" si="6">F39*(1+(F4/100))</f>
        <v>26098.799999999999</v>
      </c>
      <c r="G40" s="2"/>
      <c r="H40" s="2">
        <f t="shared" ref="H40:H64" si="7">H39*(1+(H4/100))</f>
        <v>32904</v>
      </c>
      <c r="I40" s="2">
        <f>SUM(B40:H40)</f>
        <v>115327.8</v>
      </c>
      <c r="J40" s="2">
        <f>I40-I39</f>
        <v>15327.800000000003</v>
      </c>
      <c r="K40" s="6">
        <f>(J40/I39)</f>
        <v>0.15327800000000003</v>
      </c>
      <c r="L40" s="7">
        <f>K40+1</f>
        <v>1.153278</v>
      </c>
      <c r="O40">
        <f>A40</f>
        <v>1993</v>
      </c>
      <c r="P40" s="6">
        <f t="shared" ref="P40:U64" si="8">B40/$I40</f>
        <v>0.19056983658753571</v>
      </c>
      <c r="Q40" s="6">
        <f t="shared" si="8"/>
        <v>0.29782064688652693</v>
      </c>
      <c r="R40" s="7"/>
      <c r="S40" s="7"/>
      <c r="T40" s="6">
        <f t="shared" ref="T40:T46" si="9">F40/$I40</f>
        <v>0.22630103062748097</v>
      </c>
      <c r="U40" s="7"/>
      <c r="V40" s="6">
        <f t="shared" ref="V40:V64" si="10">H40/$I40</f>
        <v>0.28530848589845637</v>
      </c>
      <c r="W40" s="6">
        <f>SUM(P40:V40)</f>
        <v>1</v>
      </c>
      <c r="X40" s="7">
        <f>SUM(P40:U40)</f>
        <v>0.71469151410154363</v>
      </c>
      <c r="Y40" s="7">
        <f>W40-(X40+V40)</f>
        <v>0</v>
      </c>
    </row>
    <row r="41" spans="1:25" x14ac:dyDescent="0.25">
      <c r="A41">
        <f t="shared" si="3"/>
        <v>1994</v>
      </c>
      <c r="B41" s="2">
        <f t="shared" si="4"/>
        <v>22237.340400000001</v>
      </c>
      <c r="C41" s="2">
        <f t="shared" si="5"/>
        <v>33741.118920000001</v>
      </c>
      <c r="D41" s="2"/>
      <c r="E41" s="2"/>
      <c r="F41" s="2">
        <f t="shared" si="6"/>
        <v>27470.291940000003</v>
      </c>
      <c r="G41" s="2"/>
      <c r="H41" s="2">
        <f t="shared" si="7"/>
        <v>32028.7536</v>
      </c>
      <c r="I41" s="2">
        <f t="shared" ref="I41:I48" si="11">SUM(B41:H41)</f>
        <v>115477.50486</v>
      </c>
      <c r="J41" s="2">
        <f t="shared" ref="J41:J64" si="12">I41-I40</f>
        <v>149.70485999999801</v>
      </c>
      <c r="K41" s="6">
        <f t="shared" ref="K41:K48" si="13">(J41/I40)</f>
        <v>1.2980812952297538E-3</v>
      </c>
      <c r="L41" s="7">
        <f t="shared" ref="L41:L64" si="14">K41+1</f>
        <v>1.0012980812952297</v>
      </c>
      <c r="O41">
        <f t="shared" ref="O41:O64" si="15">A41</f>
        <v>1994</v>
      </c>
      <c r="P41" s="6">
        <f t="shared" si="8"/>
        <v>0.19256859097327747</v>
      </c>
      <c r="Q41" s="6">
        <f t="shared" si="8"/>
        <v>0.29218780714829518</v>
      </c>
      <c r="R41" s="7"/>
      <c r="S41" s="7"/>
      <c r="T41" s="6">
        <f t="shared" si="9"/>
        <v>0.23788435655328552</v>
      </c>
      <c r="U41" s="7"/>
      <c r="V41" s="6">
        <f t="shared" si="10"/>
        <v>0.27735924532514183</v>
      </c>
      <c r="W41" s="6">
        <f t="shared" ref="W41:W64" si="16">SUM(P41:V41)</f>
        <v>1</v>
      </c>
      <c r="X41" s="7">
        <f t="shared" ref="X41:X64" si="17">SUM(P41:U41)</f>
        <v>0.72264075467485822</v>
      </c>
      <c r="Y41" s="7">
        <f t="shared" ref="Y41:Y64" si="18">W41-(X41+V41)</f>
        <v>0</v>
      </c>
    </row>
    <row r="42" spans="1:25" x14ac:dyDescent="0.25">
      <c r="A42">
        <f t="shared" si="3"/>
        <v>1995</v>
      </c>
      <c r="B42" s="2">
        <f t="shared" si="4"/>
        <v>30565.224379800002</v>
      </c>
      <c r="C42" s="2">
        <f t="shared" si="5"/>
        <v>45144.604881392399</v>
      </c>
      <c r="D42" s="2"/>
      <c r="E42" s="2"/>
      <c r="F42" s="2">
        <f t="shared" si="6"/>
        <v>30120.076300532404</v>
      </c>
      <c r="G42" s="2"/>
      <c r="H42" s="2">
        <f t="shared" si="7"/>
        <v>37851.581004480002</v>
      </c>
      <c r="I42" s="2">
        <f t="shared" si="11"/>
        <v>143681.48656620481</v>
      </c>
      <c r="J42" s="2">
        <f t="shared" si="12"/>
        <v>28203.98170620481</v>
      </c>
      <c r="K42" s="6">
        <f t="shared" si="13"/>
        <v>0.24423788633464252</v>
      </c>
      <c r="L42" s="7">
        <f t="shared" si="14"/>
        <v>1.2442378863346426</v>
      </c>
      <c r="O42">
        <f t="shared" si="15"/>
        <v>1995</v>
      </c>
      <c r="P42" s="6">
        <f t="shared" si="8"/>
        <v>0.21272903775056862</v>
      </c>
      <c r="Q42" s="6">
        <f t="shared" si="8"/>
        <v>0.31419917736298547</v>
      </c>
      <c r="R42" s="7"/>
      <c r="S42" s="7"/>
      <c r="T42" s="6">
        <f t="shared" si="9"/>
        <v>0.20963087883040402</v>
      </c>
      <c r="U42" s="7"/>
      <c r="V42" s="6">
        <f t="shared" si="10"/>
        <v>0.26344090605604187</v>
      </c>
      <c r="W42" s="6">
        <f t="shared" si="16"/>
        <v>1</v>
      </c>
      <c r="X42" s="7">
        <f t="shared" si="17"/>
        <v>0.73655909394395813</v>
      </c>
      <c r="Y42" s="7">
        <f t="shared" si="18"/>
        <v>0</v>
      </c>
    </row>
    <row r="43" spans="1:25" x14ac:dyDescent="0.25">
      <c r="A43">
        <f t="shared" si="3"/>
        <v>1996</v>
      </c>
      <c r="B43" s="2">
        <f t="shared" si="4"/>
        <v>37558.547717898247</v>
      </c>
      <c r="C43" s="2">
        <f t="shared" si="5"/>
        <v>53111.273304811708</v>
      </c>
      <c r="D43" s="2"/>
      <c r="E43" s="2"/>
      <c r="F43" s="2">
        <f t="shared" si="6"/>
        <v>33198.046897683809</v>
      </c>
      <c r="G43" s="2"/>
      <c r="H43" s="2">
        <f t="shared" si="7"/>
        <v>39206.667604440387</v>
      </c>
      <c r="I43" s="2">
        <f t="shared" si="11"/>
        <v>163074.53552483415</v>
      </c>
      <c r="J43" s="2">
        <f t="shared" si="12"/>
        <v>19393.048958629341</v>
      </c>
      <c r="K43" s="6">
        <f t="shared" si="13"/>
        <v>0.13497249661106139</v>
      </c>
      <c r="L43" s="7">
        <f t="shared" si="14"/>
        <v>1.1349724966110615</v>
      </c>
      <c r="O43">
        <f t="shared" si="15"/>
        <v>1996</v>
      </c>
      <c r="P43" s="6">
        <f t="shared" si="8"/>
        <v>0.23031522117797823</v>
      </c>
      <c r="Q43" s="6">
        <f t="shared" si="8"/>
        <v>0.32568710457386857</v>
      </c>
      <c r="R43" s="7"/>
      <c r="S43" s="7"/>
      <c r="T43" s="6">
        <f t="shared" si="9"/>
        <v>0.20357590957312999</v>
      </c>
      <c r="U43" s="7"/>
      <c r="V43" s="6">
        <f t="shared" si="10"/>
        <v>0.24042176467502319</v>
      </c>
      <c r="W43" s="6">
        <f t="shared" si="16"/>
        <v>1</v>
      </c>
      <c r="X43" s="7">
        <f t="shared" si="17"/>
        <v>0.75957823532497681</v>
      </c>
      <c r="Y43" s="7">
        <f t="shared" si="18"/>
        <v>0</v>
      </c>
    </row>
    <row r="44" spans="1:25" x14ac:dyDescent="0.25">
      <c r="A44">
        <f t="shared" si="3"/>
        <v>1997</v>
      </c>
      <c r="B44" s="2">
        <f t="shared" si="4"/>
        <v>50024.229705468679</v>
      </c>
      <c r="C44" s="2">
        <f t="shared" si="5"/>
        <v>67285.078811666812</v>
      </c>
      <c r="D44" s="2"/>
      <c r="E44" s="2"/>
      <c r="F44" s="2"/>
      <c r="G44" s="2">
        <f>F43*(1+(G8/100))</f>
        <v>32940.762034226762</v>
      </c>
      <c r="H44" s="2">
        <f t="shared" si="7"/>
        <v>42907.777026299562</v>
      </c>
      <c r="I44" s="2">
        <f t="shared" si="11"/>
        <v>193157.8475776618</v>
      </c>
      <c r="J44" s="2">
        <f t="shared" si="12"/>
        <v>30083.312052827649</v>
      </c>
      <c r="K44" s="6">
        <f t="shared" si="13"/>
        <v>0.18447584079272969</v>
      </c>
      <c r="L44" s="7">
        <f t="shared" si="14"/>
        <v>1.1844758407927296</v>
      </c>
      <c r="O44">
        <f t="shared" si="15"/>
        <v>1997</v>
      </c>
      <c r="P44" s="6">
        <f t="shared" si="8"/>
        <v>0.25898108895293909</v>
      </c>
      <c r="Q44" s="6">
        <f t="shared" si="8"/>
        <v>0.34834245491689853</v>
      </c>
      <c r="R44" s="7"/>
      <c r="S44" s="7"/>
      <c r="T44" s="6">
        <f t="shared" si="9"/>
        <v>0</v>
      </c>
      <c r="U44" s="7"/>
      <c r="V44" s="6">
        <f t="shared" si="10"/>
        <v>0.2221384094117527</v>
      </c>
      <c r="W44" s="6">
        <f t="shared" si="16"/>
        <v>0.82946195328159034</v>
      </c>
      <c r="X44" s="7">
        <f t="shared" si="17"/>
        <v>0.60732354386983767</v>
      </c>
      <c r="Y44" s="7">
        <f t="shared" si="18"/>
        <v>0</v>
      </c>
    </row>
    <row r="45" spans="1:25" x14ac:dyDescent="0.25">
      <c r="A45">
        <f t="shared" si="3"/>
        <v>1998</v>
      </c>
      <c r="B45" s="2">
        <f t="shared" si="4"/>
        <v>64361.173939056003</v>
      </c>
      <c r="C45" s="2">
        <f t="shared" si="5"/>
        <v>72905.401444805349</v>
      </c>
      <c r="D45" s="2"/>
      <c r="E45" s="2"/>
      <c r="F45" s="2"/>
      <c r="G45" s="2">
        <f t="shared" ref="G45:G64" si="19">G44*(1+(G9/100))</f>
        <v>38080.509134427157</v>
      </c>
      <c r="H45" s="2">
        <f t="shared" si="7"/>
        <v>46589.26429515607</v>
      </c>
      <c r="I45" s="2">
        <f t="shared" si="11"/>
        <v>221936.34881344455</v>
      </c>
      <c r="J45" s="2">
        <f t="shared" si="12"/>
        <v>28778.501235782751</v>
      </c>
      <c r="K45" s="6">
        <f t="shared" si="13"/>
        <v>0.1489895523101227</v>
      </c>
      <c r="L45" s="7">
        <f t="shared" si="14"/>
        <v>1.1489895523101228</v>
      </c>
      <c r="O45">
        <f t="shared" si="15"/>
        <v>1998</v>
      </c>
      <c r="P45" s="6">
        <f t="shared" si="8"/>
        <v>0.28999834539567365</v>
      </c>
      <c r="Q45" s="6">
        <f t="shared" si="8"/>
        <v>0.32849689487362088</v>
      </c>
      <c r="R45" s="7"/>
      <c r="S45" s="7"/>
      <c r="T45" s="6">
        <f t="shared" si="9"/>
        <v>0</v>
      </c>
      <c r="U45" s="7"/>
      <c r="V45" s="6">
        <f t="shared" si="10"/>
        <v>0.20992173902220099</v>
      </c>
      <c r="W45" s="6">
        <f t="shared" si="16"/>
        <v>0.82841697929149549</v>
      </c>
      <c r="X45" s="7">
        <f t="shared" si="17"/>
        <v>0.61849524026929448</v>
      </c>
      <c r="Y45" s="7">
        <f t="shared" si="18"/>
        <v>0</v>
      </c>
    </row>
    <row r="46" spans="1:25" x14ac:dyDescent="0.25">
      <c r="A46">
        <f t="shared" si="3"/>
        <v>1999</v>
      </c>
      <c r="B46" s="2">
        <f t="shared" si="4"/>
        <v>77922.073288015104</v>
      </c>
      <c r="C46" s="2"/>
      <c r="D46" s="2">
        <f>($C45*0.67)*(1+(D10/100))</f>
        <v>56329.432527730511</v>
      </c>
      <c r="E46" s="2">
        <f>($C45*0.33)*(1+(E10/100))</f>
        <v>29624.300627140619</v>
      </c>
      <c r="F46" s="2"/>
      <c r="G46" s="2">
        <f t="shared" si="19"/>
        <v>49473.816662356418</v>
      </c>
      <c r="H46" s="2">
        <f t="shared" si="7"/>
        <v>46235.185886512882</v>
      </c>
      <c r="I46" s="2">
        <f t="shared" si="11"/>
        <v>259584.80899175556</v>
      </c>
      <c r="J46" s="2">
        <f t="shared" si="12"/>
        <v>37648.460178311012</v>
      </c>
      <c r="K46" s="6">
        <f t="shared" si="13"/>
        <v>0.16963629608035766</v>
      </c>
      <c r="L46" s="7">
        <f t="shared" si="14"/>
        <v>1.1696362960803577</v>
      </c>
      <c r="O46">
        <f t="shared" si="15"/>
        <v>1999</v>
      </c>
      <c r="P46" s="6">
        <f t="shared" si="8"/>
        <v>0.3001796352824711</v>
      </c>
      <c r="Q46" s="6">
        <f t="shared" si="8"/>
        <v>0</v>
      </c>
      <c r="R46" s="7"/>
      <c r="S46" s="7"/>
      <c r="T46" s="6">
        <f t="shared" si="9"/>
        <v>0</v>
      </c>
      <c r="U46" s="7"/>
      <c r="V46" s="6">
        <f t="shared" si="10"/>
        <v>0.17811206312916913</v>
      </c>
      <c r="W46" s="6">
        <f t="shared" si="16"/>
        <v>0.47829169841164021</v>
      </c>
      <c r="X46" s="7">
        <f t="shared" si="17"/>
        <v>0.3001796352824711</v>
      </c>
      <c r="Y46" s="7">
        <f t="shared" si="18"/>
        <v>0</v>
      </c>
    </row>
    <row r="47" spans="1:25" x14ac:dyDescent="0.25">
      <c r="A47">
        <f t="shared" si="3"/>
        <v>2000</v>
      </c>
      <c r="B47" s="2">
        <f t="shared" si="4"/>
        <v>70862.333448120931</v>
      </c>
      <c r="C47" s="2"/>
      <c r="D47" s="2">
        <f t="shared" ref="D47:E47" si="20">D46*(1+(D11/100))</f>
        <v>66523.933226599169</v>
      </c>
      <c r="E47" s="2">
        <f t="shared" si="20"/>
        <v>28834.813015427324</v>
      </c>
      <c r="F47" s="2"/>
      <c r="G47" s="2">
        <f t="shared" si="19"/>
        <v>41748.974928696087</v>
      </c>
      <c r="H47" s="2">
        <f t="shared" si="7"/>
        <v>51501.373558986706</v>
      </c>
      <c r="I47" s="2">
        <f t="shared" si="11"/>
        <v>259471.42817783021</v>
      </c>
      <c r="J47" s="2">
        <f t="shared" si="12"/>
        <v>-113.38081392535241</v>
      </c>
      <c r="K47" s="6">
        <f t="shared" si="13"/>
        <v>-4.3677753858452248E-4</v>
      </c>
      <c r="L47" s="7">
        <f t="shared" si="14"/>
        <v>0.99956322246141549</v>
      </c>
      <c r="O47">
        <f t="shared" si="15"/>
        <v>2000</v>
      </c>
      <c r="P47" s="6">
        <f t="shared" si="8"/>
        <v>0.27310264542712975</v>
      </c>
      <c r="Q47" s="6">
        <f t="shared" si="8"/>
        <v>0</v>
      </c>
      <c r="R47" s="7"/>
      <c r="S47" s="7"/>
      <c r="T47" s="6"/>
      <c r="U47" s="6">
        <f t="shared" si="8"/>
        <v>0.16090008530759384</v>
      </c>
      <c r="V47" s="6">
        <f t="shared" si="10"/>
        <v>0.19848572122434208</v>
      </c>
      <c r="W47" s="6">
        <f t="shared" si="16"/>
        <v>0.63248845195906567</v>
      </c>
      <c r="X47" s="7">
        <f t="shared" si="17"/>
        <v>0.43400273073472362</v>
      </c>
      <c r="Y47" s="7">
        <f t="shared" si="18"/>
        <v>0</v>
      </c>
    </row>
    <row r="48" spans="1:25" x14ac:dyDescent="0.25">
      <c r="A48">
        <f t="shared" si="3"/>
        <v>2001</v>
      </c>
      <c r="B48" s="2">
        <f t="shared" si="4"/>
        <v>62344.680967656794</v>
      </c>
      <c r="C48" s="2"/>
      <c r="D48" s="2">
        <f t="shared" ref="D48:E48" si="21">D47*(1+(D12/100))</f>
        <v>66191.978799798439</v>
      </c>
      <c r="E48" s="2">
        <f t="shared" si="21"/>
        <v>29728.692218905569</v>
      </c>
      <c r="F48" s="2"/>
      <c r="G48" s="2">
        <f t="shared" si="19"/>
        <v>33335.304011315966</v>
      </c>
      <c r="H48" s="2">
        <f t="shared" si="7"/>
        <v>55842.939350009285</v>
      </c>
      <c r="I48" s="2">
        <f t="shared" si="11"/>
        <v>247443.59534768606</v>
      </c>
      <c r="J48" s="2">
        <f t="shared" si="12"/>
        <v>-12027.832830144151</v>
      </c>
      <c r="K48" s="6">
        <f t="shared" si="13"/>
        <v>-4.6355134030020471E-2</v>
      </c>
      <c r="L48" s="7">
        <f t="shared" si="14"/>
        <v>0.95364486596997955</v>
      </c>
      <c r="O48">
        <f t="shared" si="15"/>
        <v>2001</v>
      </c>
      <c r="P48" s="6">
        <f t="shared" si="8"/>
        <v>0.2519551208430168</v>
      </c>
      <c r="Q48" s="6">
        <f t="shared" si="8"/>
        <v>0</v>
      </c>
      <c r="R48" s="7"/>
      <c r="S48" s="7"/>
      <c r="T48" s="6"/>
      <c r="U48" s="6">
        <f t="shared" si="8"/>
        <v>0.13471879910440243</v>
      </c>
      <c r="V48" s="6">
        <f t="shared" si="10"/>
        <v>0.22567946958394167</v>
      </c>
      <c r="W48" s="6">
        <f t="shared" si="16"/>
        <v>0.61235338953136087</v>
      </c>
      <c r="X48" s="7">
        <f t="shared" si="17"/>
        <v>0.38667391994741923</v>
      </c>
      <c r="Y48" s="7">
        <f t="shared" si="18"/>
        <v>0</v>
      </c>
    </row>
    <row r="49" spans="1:25" x14ac:dyDescent="0.25">
      <c r="A49">
        <f t="shared" si="3"/>
        <v>2002</v>
      </c>
      <c r="B49" s="2">
        <f t="shared" si="4"/>
        <v>48535.334133320815</v>
      </c>
      <c r="C49" s="2"/>
      <c r="D49" s="2">
        <f t="shared" ref="D49:E49" si="22">D48*(1+(D13/100))</f>
        <v>56522.654536723887</v>
      </c>
      <c r="E49" s="2">
        <f t="shared" si="22"/>
        <v>23776.413462836299</v>
      </c>
      <c r="F49" s="2"/>
      <c r="G49" s="2">
        <f t="shared" si="19"/>
        <v>28307.340107289179</v>
      </c>
      <c r="H49" s="2">
        <f t="shared" si="7"/>
        <v>60455.56614032005</v>
      </c>
      <c r="I49" s="2">
        <f t="shared" ref="I49:I64" si="23">SUM(B49:H49)</f>
        <v>217597.30838049023</v>
      </c>
      <c r="J49" s="2">
        <f t="shared" si="12"/>
        <v>-29846.286967195832</v>
      </c>
      <c r="K49" s="6">
        <f t="shared" ref="K49:K64" si="24">(J49/I48)</f>
        <v>-0.12061854712892627</v>
      </c>
      <c r="L49" s="7">
        <f t="shared" si="14"/>
        <v>0.87938145287107372</v>
      </c>
      <c r="O49">
        <f t="shared" si="15"/>
        <v>2002</v>
      </c>
      <c r="P49" s="6">
        <f t="shared" si="8"/>
        <v>0.22305116958731872</v>
      </c>
      <c r="Q49" s="6"/>
      <c r="R49" s="6">
        <f t="shared" ref="R49:R50" si="25">D49/$I49</f>
        <v>0.25975805931334628</v>
      </c>
      <c r="S49" s="6">
        <f t="shared" ref="S49:S50" si="26">E49/$I49</f>
        <v>0.10926795758549049</v>
      </c>
      <c r="T49" s="6"/>
      <c r="U49" s="6">
        <f t="shared" si="8"/>
        <v>0.13009048833357359</v>
      </c>
      <c r="V49" s="6">
        <f t="shared" si="10"/>
        <v>0.2778323251802709</v>
      </c>
      <c r="W49" s="6">
        <f t="shared" si="16"/>
        <v>1</v>
      </c>
      <c r="X49" s="7">
        <f t="shared" si="17"/>
        <v>0.7221676748197291</v>
      </c>
      <c r="Y49" s="7">
        <f t="shared" si="18"/>
        <v>0</v>
      </c>
    </row>
    <row r="50" spans="1:25" x14ac:dyDescent="0.25">
      <c r="A50">
        <f t="shared" si="3"/>
        <v>2003</v>
      </c>
      <c r="B50" s="2">
        <f t="shared" si="4"/>
        <v>62367.904361317247</v>
      </c>
      <c r="C50" s="2"/>
      <c r="D50" s="2">
        <f t="shared" si="5"/>
        <v>75820.619248652161</v>
      </c>
      <c r="E50" s="2">
        <f t="shared" si="5"/>
        <v>34625.115397659247</v>
      </c>
      <c r="F50" s="2"/>
      <c r="G50" s="2">
        <f t="shared" si="19"/>
        <v>39726.521106569635</v>
      </c>
      <c r="H50" s="2">
        <f t="shared" si="7"/>
        <v>62855.652116090758</v>
      </c>
      <c r="I50" s="2">
        <f t="shared" si="23"/>
        <v>275395.81223028904</v>
      </c>
      <c r="J50" s="2">
        <f t="shared" si="12"/>
        <v>57798.503849798813</v>
      </c>
      <c r="K50" s="6">
        <f t="shared" si="24"/>
        <v>0.2656214099336765</v>
      </c>
      <c r="L50" s="7">
        <f t="shared" si="14"/>
        <v>1.2656214099336764</v>
      </c>
      <c r="O50">
        <f t="shared" si="15"/>
        <v>2003</v>
      </c>
      <c r="P50" s="6">
        <f t="shared" si="8"/>
        <v>0.22646642247836549</v>
      </c>
      <c r="Q50" s="6"/>
      <c r="R50" s="6">
        <f t="shared" si="25"/>
        <v>0.27531507699634195</v>
      </c>
      <c r="S50" s="6">
        <f t="shared" si="26"/>
        <v>0.12572854727618493</v>
      </c>
      <c r="T50" s="7"/>
      <c r="U50" s="6">
        <f t="shared" si="8"/>
        <v>0.14425245171611351</v>
      </c>
      <c r="V50" s="6">
        <f t="shared" si="10"/>
        <v>0.22823750153299413</v>
      </c>
      <c r="W50" s="6">
        <f t="shared" si="16"/>
        <v>0.99999999999999989</v>
      </c>
      <c r="X50" s="7">
        <f t="shared" si="17"/>
        <v>0.77176249846700573</v>
      </c>
      <c r="Y50" s="7">
        <f t="shared" si="18"/>
        <v>0</v>
      </c>
    </row>
    <row r="51" spans="1:25" x14ac:dyDescent="0.25">
      <c r="A51">
        <f t="shared" si="3"/>
        <v>2004</v>
      </c>
      <c r="B51" s="2">
        <f t="shared" ref="B51:B64" si="27">B50*(1+(B15/100))</f>
        <v>69066.217289722714</v>
      </c>
      <c r="C51" s="2"/>
      <c r="D51" s="2">
        <f t="shared" si="5"/>
        <v>91252.389884330332</v>
      </c>
      <c r="E51" s="2">
        <f t="shared" si="5"/>
        <v>41514.474608331511</v>
      </c>
      <c r="F51" s="2"/>
      <c r="G51" s="2">
        <f t="shared" si="19"/>
        <v>48004.33630954555</v>
      </c>
      <c r="H51" s="2">
        <f t="shared" si="7"/>
        <v>65520.731765813005</v>
      </c>
      <c r="I51" s="2">
        <f t="shared" si="23"/>
        <v>315358.14985774312</v>
      </c>
      <c r="J51" s="2">
        <f t="shared" si="12"/>
        <v>39962.337627454079</v>
      </c>
      <c r="K51" s="6">
        <f t="shared" si="24"/>
        <v>0.14510873387587001</v>
      </c>
      <c r="L51" s="7">
        <f t="shared" si="14"/>
        <v>1.1451087338758701</v>
      </c>
      <c r="O51">
        <f t="shared" si="15"/>
        <v>2004</v>
      </c>
      <c r="P51" s="6">
        <f t="shared" si="8"/>
        <v>0.21900882320903464</v>
      </c>
      <c r="Q51" s="7"/>
      <c r="R51" s="6">
        <f t="shared" si="8"/>
        <v>0.28936112773839506</v>
      </c>
      <c r="S51" s="6">
        <f t="shared" si="8"/>
        <v>0.13164230772871585</v>
      </c>
      <c r="T51" s="7"/>
      <c r="U51" s="6">
        <f t="shared" si="8"/>
        <v>0.15222164491769161</v>
      </c>
      <c r="V51" s="6">
        <f t="shared" si="10"/>
        <v>0.20776609640616284</v>
      </c>
      <c r="W51" s="6">
        <f t="shared" si="16"/>
        <v>1</v>
      </c>
      <c r="X51" s="7">
        <f t="shared" si="17"/>
        <v>0.79223390359383727</v>
      </c>
      <c r="Y51" s="7">
        <f t="shared" si="18"/>
        <v>0</v>
      </c>
    </row>
    <row r="52" spans="1:25" x14ac:dyDescent="0.25">
      <c r="A52">
        <f t="shared" si="3"/>
        <v>2005</v>
      </c>
      <c r="B52" s="2">
        <f t="shared" si="27"/>
        <v>72360.675854442496</v>
      </c>
      <c r="C52" s="2"/>
      <c r="D52" s="2">
        <f t="shared" ref="D52:D64" si="28">D51*(1+(D16/100))</f>
        <v>103964.76031911639</v>
      </c>
      <c r="E52" s="2">
        <f t="shared" ref="E52:E64" si="29">E51*(1+(E16/100))</f>
        <v>44571.185373742963</v>
      </c>
      <c r="F52" s="2"/>
      <c r="G52" s="2">
        <f t="shared" si="19"/>
        <v>55479.091516304885</v>
      </c>
      <c r="H52" s="2">
        <f t="shared" si="7"/>
        <v>67093.229328192523</v>
      </c>
      <c r="I52" s="2">
        <f t="shared" si="23"/>
        <v>343468.94239179924</v>
      </c>
      <c r="J52" s="2">
        <f t="shared" si="12"/>
        <v>28110.79253405612</v>
      </c>
      <c r="K52" s="6">
        <f t="shared" si="24"/>
        <v>8.9139261334253747E-2</v>
      </c>
      <c r="L52" s="7">
        <f t="shared" si="14"/>
        <v>1.0891392613342536</v>
      </c>
      <c r="O52">
        <f t="shared" si="15"/>
        <v>2005</v>
      </c>
      <c r="P52" s="6">
        <f t="shared" si="8"/>
        <v>0.21067603769513396</v>
      </c>
      <c r="Q52" s="7"/>
      <c r="R52" s="6">
        <f t="shared" si="8"/>
        <v>0.30269042550147812</v>
      </c>
      <c r="S52" s="6">
        <f t="shared" si="8"/>
        <v>0.12976773114728976</v>
      </c>
      <c r="T52" s="7"/>
      <c r="U52" s="6">
        <f t="shared" si="8"/>
        <v>0.16152578783387991</v>
      </c>
      <c r="V52" s="6">
        <f t="shared" si="10"/>
        <v>0.19534001782221827</v>
      </c>
      <c r="W52" s="6">
        <f t="shared" si="16"/>
        <v>1</v>
      </c>
      <c r="X52" s="7">
        <f t="shared" si="17"/>
        <v>0.80465998217778179</v>
      </c>
      <c r="Y52" s="7">
        <f t="shared" si="18"/>
        <v>0</v>
      </c>
    </row>
    <row r="53" spans="1:25" x14ac:dyDescent="0.25">
      <c r="A53">
        <f t="shared" si="3"/>
        <v>2006</v>
      </c>
      <c r="B53" s="2">
        <f t="shared" si="27"/>
        <v>83677.885558077309</v>
      </c>
      <c r="C53" s="2"/>
      <c r="D53" s="2">
        <f t="shared" si="28"/>
        <v>118100.84877970665</v>
      </c>
      <c r="E53" s="2">
        <f t="shared" si="29"/>
        <v>51549.250155856163</v>
      </c>
      <c r="F53" s="2"/>
      <c r="G53" s="2">
        <f t="shared" si="19"/>
        <v>70257.057123503022</v>
      </c>
      <c r="H53" s="2">
        <f t="shared" si="7"/>
        <v>69958.110220506336</v>
      </c>
      <c r="I53" s="2">
        <f t="shared" si="23"/>
        <v>393543.15183764946</v>
      </c>
      <c r="J53" s="2">
        <f t="shared" si="12"/>
        <v>50074.209445850225</v>
      </c>
      <c r="K53" s="6">
        <f t="shared" si="24"/>
        <v>0.14578962830569397</v>
      </c>
      <c r="L53" s="7">
        <f t="shared" si="14"/>
        <v>1.1457896283056939</v>
      </c>
      <c r="O53">
        <f t="shared" si="15"/>
        <v>2006</v>
      </c>
      <c r="P53" s="6">
        <f t="shared" si="8"/>
        <v>0.21262696394879058</v>
      </c>
      <c r="Q53" s="7"/>
      <c r="R53" s="6">
        <f t="shared" si="8"/>
        <v>0.30009631276325055</v>
      </c>
      <c r="S53" s="6">
        <f t="shared" si="8"/>
        <v>0.13098754206532873</v>
      </c>
      <c r="T53" s="7"/>
      <c r="U53" s="6">
        <f t="shared" si="8"/>
        <v>0.17852440525375107</v>
      </c>
      <c r="V53" s="6">
        <f t="shared" si="10"/>
        <v>0.17776477596887913</v>
      </c>
      <c r="W53" s="6">
        <f t="shared" si="16"/>
        <v>1</v>
      </c>
      <c r="X53" s="7">
        <f t="shared" si="17"/>
        <v>0.82223522403112081</v>
      </c>
      <c r="Y53" s="7">
        <f t="shared" si="18"/>
        <v>0</v>
      </c>
    </row>
    <row r="54" spans="1:25" x14ac:dyDescent="0.25">
      <c r="A54">
        <f t="shared" si="3"/>
        <v>2007</v>
      </c>
      <c r="B54" s="2">
        <f t="shared" si="27"/>
        <v>88188.123589657684</v>
      </c>
      <c r="C54" s="2"/>
      <c r="D54" s="2">
        <f t="shared" si="28"/>
        <v>125211.7008847328</v>
      </c>
      <c r="E54" s="2">
        <f t="shared" si="29"/>
        <v>52145.15948765786</v>
      </c>
      <c r="F54" s="2"/>
      <c r="G54" s="2">
        <f t="shared" si="19"/>
        <v>81162.35753021315</v>
      </c>
      <c r="H54" s="2">
        <f t="shared" si="7"/>
        <v>74799.211447765367</v>
      </c>
      <c r="I54" s="2">
        <f t="shared" si="23"/>
        <v>421506.5529400268</v>
      </c>
      <c r="J54" s="2">
        <f t="shared" si="12"/>
        <v>27963.401102377335</v>
      </c>
      <c r="K54" s="6">
        <f t="shared" si="24"/>
        <v>7.1055489015123888E-2</v>
      </c>
      <c r="L54" s="7">
        <f t="shared" si="14"/>
        <v>1.0710554890151238</v>
      </c>
      <c r="O54">
        <f t="shared" si="15"/>
        <v>2007</v>
      </c>
      <c r="P54" s="6">
        <f t="shared" si="8"/>
        <v>0.20922123979933796</v>
      </c>
      <c r="Q54" s="7"/>
      <c r="R54" s="6">
        <f t="shared" si="8"/>
        <v>0.29705754278640667</v>
      </c>
      <c r="S54" s="6">
        <f t="shared" si="8"/>
        <v>0.12371138508747509</v>
      </c>
      <c r="T54" s="7"/>
      <c r="U54" s="6">
        <f t="shared" si="8"/>
        <v>0.19255301480867171</v>
      </c>
      <c r="V54" s="6">
        <f t="shared" si="10"/>
        <v>0.17745681751810871</v>
      </c>
      <c r="W54" s="6">
        <f t="shared" si="16"/>
        <v>1.0000000000000002</v>
      </c>
      <c r="X54" s="7">
        <f t="shared" si="17"/>
        <v>0.82254318248189151</v>
      </c>
      <c r="Y54" s="7">
        <f t="shared" si="18"/>
        <v>0</v>
      </c>
    </row>
    <row r="55" spans="1:25" x14ac:dyDescent="0.25">
      <c r="A55">
        <f t="shared" si="3"/>
        <v>2008</v>
      </c>
      <c r="B55" s="2">
        <f t="shared" si="27"/>
        <v>55540.880236766403</v>
      </c>
      <c r="C55" s="2"/>
      <c r="D55" s="2">
        <f t="shared" si="28"/>
        <v>72843.159106702165</v>
      </c>
      <c r="E55" s="2">
        <f t="shared" si="29"/>
        <v>33336.40046045967</v>
      </c>
      <c r="F55" s="2"/>
      <c r="G55" s="2">
        <f t="shared" si="19"/>
        <v>45368.946235813848</v>
      </c>
      <c r="H55" s="2">
        <f t="shared" si="7"/>
        <v>78576.571625877521</v>
      </c>
      <c r="I55" s="2">
        <f t="shared" si="23"/>
        <v>285665.95766561961</v>
      </c>
      <c r="J55" s="2">
        <f t="shared" si="12"/>
        <v>-135840.59527440718</v>
      </c>
      <c r="K55" s="6">
        <f t="shared" si="24"/>
        <v>-0.32227398204586155</v>
      </c>
      <c r="L55" s="7">
        <f t="shared" si="14"/>
        <v>0.67772601795413845</v>
      </c>
      <c r="O55">
        <f t="shared" si="15"/>
        <v>2008</v>
      </c>
      <c r="P55" s="6">
        <f t="shared" si="8"/>
        <v>0.19442596762537115</v>
      </c>
      <c r="Q55" s="7"/>
      <c r="R55" s="6">
        <f t="shared" si="8"/>
        <v>0.25499418867391688</v>
      </c>
      <c r="S55" s="6">
        <f t="shared" si="8"/>
        <v>0.11669714071944444</v>
      </c>
      <c r="T55" s="7"/>
      <c r="U55" s="6">
        <f t="shared" si="8"/>
        <v>0.1588181756291715</v>
      </c>
      <c r="V55" s="6">
        <f t="shared" si="10"/>
        <v>0.27506452735209597</v>
      </c>
      <c r="W55" s="6">
        <f t="shared" si="16"/>
        <v>1</v>
      </c>
      <c r="X55" s="7">
        <f t="shared" si="17"/>
        <v>0.72493547264790403</v>
      </c>
      <c r="Y55" s="7">
        <f t="shared" si="18"/>
        <v>0</v>
      </c>
    </row>
    <row r="56" spans="1:25" x14ac:dyDescent="0.25">
      <c r="A56">
        <f t="shared" si="3"/>
        <v>2009</v>
      </c>
      <c r="B56" s="2">
        <f t="shared" si="27"/>
        <v>70253.659411485816</v>
      </c>
      <c r="C56" s="2"/>
      <c r="D56" s="2">
        <f t="shared" si="28"/>
        <v>102139.22083623565</v>
      </c>
      <c r="E56" s="2">
        <f t="shared" si="29"/>
        <v>45376.841578768493</v>
      </c>
      <c r="F56" s="2"/>
      <c r="G56" s="2">
        <f t="shared" si="19"/>
        <v>62031.599119841201</v>
      </c>
      <c r="H56" s="2">
        <f t="shared" si="7"/>
        <v>83236.162323292054</v>
      </c>
      <c r="I56" s="2">
        <f t="shared" si="23"/>
        <v>363037.48326962319</v>
      </c>
      <c r="J56" s="2">
        <f>I56-I55</f>
        <v>77371.525604003575</v>
      </c>
      <c r="K56" s="6">
        <f>(J56/I55)</f>
        <v>0.27084615274519064</v>
      </c>
      <c r="L56" s="7">
        <f t="shared" si="14"/>
        <v>1.2708461527451906</v>
      </c>
      <c r="O56">
        <f t="shared" si="15"/>
        <v>2009</v>
      </c>
      <c r="P56" s="6">
        <f t="shared" si="8"/>
        <v>0.19351626939113981</v>
      </c>
      <c r="Q56" s="7"/>
      <c r="R56" s="6">
        <f t="shared" si="8"/>
        <v>0.28134621228733614</v>
      </c>
      <c r="S56" s="6">
        <f t="shared" si="8"/>
        <v>0.12499216656663441</v>
      </c>
      <c r="T56" s="7"/>
      <c r="U56" s="6">
        <f t="shared" si="8"/>
        <v>0.17086830417940932</v>
      </c>
      <c r="V56" s="6">
        <f t="shared" si="10"/>
        <v>0.22927704757548037</v>
      </c>
      <c r="W56" s="6">
        <f t="shared" si="16"/>
        <v>1</v>
      </c>
      <c r="X56" s="7">
        <f t="shared" si="17"/>
        <v>0.77072295242451971</v>
      </c>
      <c r="Y56" s="7">
        <f t="shared" si="18"/>
        <v>0</v>
      </c>
    </row>
    <row r="57" spans="1:25" x14ac:dyDescent="0.25">
      <c r="A57">
        <f t="shared" si="3"/>
        <v>2010</v>
      </c>
      <c r="B57" s="2">
        <f t="shared" si="27"/>
        <v>80728.480029738348</v>
      </c>
      <c r="C57" s="2"/>
      <c r="D57" s="2">
        <f t="shared" si="28"/>
        <v>128143.86646114124</v>
      </c>
      <c r="E57" s="2">
        <f t="shared" si="29"/>
        <v>57955.302064403128</v>
      </c>
      <c r="F57" s="2"/>
      <c r="G57" s="2">
        <f t="shared" si="19"/>
        <v>68929.512941967536</v>
      </c>
      <c r="H57" s="2">
        <f t="shared" si="7"/>
        <v>88579.923944447408</v>
      </c>
      <c r="I57" s="2">
        <f t="shared" si="23"/>
        <v>424337.08544169768</v>
      </c>
      <c r="J57" s="2">
        <f t="shared" si="12"/>
        <v>61299.60217207449</v>
      </c>
      <c r="K57" s="6">
        <f t="shared" si="24"/>
        <v>0.16885199186594205</v>
      </c>
      <c r="L57" s="7">
        <f t="shared" si="14"/>
        <v>1.1688519918659421</v>
      </c>
      <c r="O57">
        <f t="shared" si="15"/>
        <v>2010</v>
      </c>
      <c r="P57" s="6">
        <f t="shared" si="8"/>
        <v>0.19024611046123174</v>
      </c>
      <c r="Q57" s="7"/>
      <c r="R57" s="6">
        <f t="shared" si="8"/>
        <v>0.30198601738463354</v>
      </c>
      <c r="S57" s="6">
        <f t="shared" si="8"/>
        <v>0.13657845154890655</v>
      </c>
      <c r="T57" s="7"/>
      <c r="U57" s="6">
        <f t="shared" si="8"/>
        <v>0.16244046374173957</v>
      </c>
      <c r="V57" s="6">
        <f t="shared" si="10"/>
        <v>0.20874895686348857</v>
      </c>
      <c r="W57" s="6">
        <f t="shared" si="16"/>
        <v>1</v>
      </c>
      <c r="X57" s="7">
        <f t="shared" si="17"/>
        <v>0.7912510431365114</v>
      </c>
      <c r="Y57" s="7">
        <f t="shared" si="18"/>
        <v>0</v>
      </c>
    </row>
    <row r="58" spans="1:25" x14ac:dyDescent="0.25">
      <c r="A58">
        <f t="shared" si="3"/>
        <v>2011</v>
      </c>
      <c r="B58" s="2">
        <f t="shared" si="27"/>
        <v>82318.831086324193</v>
      </c>
      <c r="C58" s="2"/>
      <c r="D58" s="2">
        <f t="shared" si="28"/>
        <v>125440.03087881116</v>
      </c>
      <c r="E58" s="2">
        <f t="shared" si="29"/>
        <v>56332.553606599839</v>
      </c>
      <c r="F58" s="2"/>
      <c r="G58" s="2">
        <f t="shared" si="19"/>
        <v>58893.375857617066</v>
      </c>
      <c r="H58" s="2">
        <f t="shared" si="7"/>
        <v>95276.566194647647</v>
      </c>
      <c r="I58" s="2">
        <f t="shared" si="23"/>
        <v>418261.35762399988</v>
      </c>
      <c r="J58" s="2">
        <f t="shared" si="12"/>
        <v>-6075.7278176977998</v>
      </c>
      <c r="K58" s="6">
        <f t="shared" si="24"/>
        <v>-1.4318163616016498E-2</v>
      </c>
      <c r="L58" s="7">
        <f t="shared" si="14"/>
        <v>0.98568183638398355</v>
      </c>
      <c r="O58">
        <f t="shared" si="15"/>
        <v>2011</v>
      </c>
      <c r="P58" s="6">
        <f t="shared" si="8"/>
        <v>0.19681194445967803</v>
      </c>
      <c r="Q58" s="7"/>
      <c r="R58" s="6">
        <f t="shared" si="8"/>
        <v>0.2999082477793148</v>
      </c>
      <c r="S58" s="6">
        <f t="shared" si="8"/>
        <v>0.13468266331512396</v>
      </c>
      <c r="T58" s="7"/>
      <c r="U58" s="6">
        <f t="shared" si="8"/>
        <v>0.14080520417226741</v>
      </c>
      <c r="V58" s="6">
        <f t="shared" si="10"/>
        <v>0.22779194027361582</v>
      </c>
      <c r="W58" s="6">
        <f t="shared" si="16"/>
        <v>1</v>
      </c>
      <c r="X58" s="7">
        <f t="shared" si="17"/>
        <v>0.77220805972638418</v>
      </c>
      <c r="Y58" s="7">
        <f t="shared" si="18"/>
        <v>0</v>
      </c>
    </row>
    <row r="59" spans="1:25" x14ac:dyDescent="0.25">
      <c r="A59">
        <f t="shared" si="3"/>
        <v>2012</v>
      </c>
      <c r="B59" s="2">
        <f t="shared" si="27"/>
        <v>95341.670164180672</v>
      </c>
      <c r="C59" s="2"/>
      <c r="D59" s="2">
        <f t="shared" si="28"/>
        <v>145259.5557576633</v>
      </c>
      <c r="E59" s="2">
        <f t="shared" si="29"/>
        <v>66494.946277230454</v>
      </c>
      <c r="F59" s="2"/>
      <c r="G59" s="2">
        <f t="shared" si="19"/>
        <v>69576.634238188795</v>
      </c>
      <c r="H59" s="2">
        <f t="shared" si="7"/>
        <v>99135.267125530881</v>
      </c>
      <c r="I59" s="2">
        <f t="shared" si="23"/>
        <v>475808.07356279407</v>
      </c>
      <c r="J59" s="2">
        <f t="shared" si="12"/>
        <v>57546.715938794194</v>
      </c>
      <c r="K59" s="6">
        <f t="shared" si="24"/>
        <v>0.13758554284263183</v>
      </c>
      <c r="L59" s="7">
        <f t="shared" si="14"/>
        <v>1.1375855428426318</v>
      </c>
      <c r="O59">
        <f t="shared" si="15"/>
        <v>2012</v>
      </c>
      <c r="P59" s="6">
        <f t="shared" si="8"/>
        <v>0.20037842033716163</v>
      </c>
      <c r="Q59" s="7"/>
      <c r="R59" s="6">
        <f t="shared" si="8"/>
        <v>0.30529022904125414</v>
      </c>
      <c r="S59" s="6">
        <f t="shared" si="8"/>
        <v>0.13975161408953032</v>
      </c>
      <c r="T59" s="7"/>
      <c r="U59" s="6">
        <f t="shared" si="8"/>
        <v>0.14622835992926153</v>
      </c>
      <c r="V59" s="6">
        <f t="shared" si="10"/>
        <v>0.20835137660279246</v>
      </c>
      <c r="W59" s="6">
        <f t="shared" si="16"/>
        <v>1</v>
      </c>
      <c r="X59" s="7">
        <f t="shared" si="17"/>
        <v>0.79164862339720754</v>
      </c>
      <c r="Y59" s="7">
        <f t="shared" si="18"/>
        <v>0</v>
      </c>
    </row>
    <row r="60" spans="1:25" x14ac:dyDescent="0.25">
      <c r="A60">
        <f t="shared" si="3"/>
        <v>2013</v>
      </c>
      <c r="B60" s="2">
        <f t="shared" si="27"/>
        <v>126022.61962301402</v>
      </c>
      <c r="C60" s="2"/>
      <c r="D60" s="2">
        <f t="shared" si="28"/>
        <v>196100.40027284547</v>
      </c>
      <c r="E60" s="2">
        <f t="shared" si="29"/>
        <v>91510.345066724549</v>
      </c>
      <c r="F60" s="2"/>
      <c r="G60" s="2">
        <f t="shared" si="19"/>
        <v>80040.960027612382</v>
      </c>
      <c r="H60" s="2">
        <f t="shared" si="7"/>
        <v>96894.81008849389</v>
      </c>
      <c r="I60" s="2">
        <f t="shared" si="23"/>
        <v>590569.13507869025</v>
      </c>
      <c r="J60" s="2">
        <f t="shared" si="12"/>
        <v>114761.06151589617</v>
      </c>
      <c r="K60" s="6">
        <f t="shared" si="24"/>
        <v>0.24119191727155667</v>
      </c>
      <c r="L60" s="7">
        <f t="shared" si="14"/>
        <v>1.2411919172715566</v>
      </c>
      <c r="O60">
        <f t="shared" si="15"/>
        <v>2013</v>
      </c>
      <c r="P60" s="6">
        <f t="shared" si="8"/>
        <v>0.21339181500946908</v>
      </c>
      <c r="Q60" s="7"/>
      <c r="R60" s="6">
        <f t="shared" si="8"/>
        <v>0.33205324935702257</v>
      </c>
      <c r="S60" s="6">
        <f t="shared" si="8"/>
        <v>0.154952806760772</v>
      </c>
      <c r="T60" s="7"/>
      <c r="U60" s="6">
        <f t="shared" si="8"/>
        <v>0.13553190519675118</v>
      </c>
      <c r="V60" s="6">
        <f t="shared" si="10"/>
        <v>0.16407022367598531</v>
      </c>
      <c r="W60" s="6">
        <f t="shared" si="16"/>
        <v>1</v>
      </c>
      <c r="X60" s="7">
        <f t="shared" si="17"/>
        <v>0.83592977632401477</v>
      </c>
      <c r="Y60" s="7">
        <f t="shared" si="18"/>
        <v>0</v>
      </c>
    </row>
    <row r="61" spans="1:25" x14ac:dyDescent="0.25">
      <c r="A61">
        <f t="shared" si="3"/>
        <v>2014</v>
      </c>
      <c r="B61" s="2">
        <f t="shared" si="27"/>
        <v>143048.27553408322</v>
      </c>
      <c r="C61" s="2"/>
      <c r="D61" s="2">
        <f t="shared" si="28"/>
        <v>222770.05470995247</v>
      </c>
      <c r="E61" s="2">
        <f t="shared" si="29"/>
        <v>98254.657498142158</v>
      </c>
      <c r="F61" s="2"/>
      <c r="G61" s="2">
        <f t="shared" si="19"/>
        <v>76647.223322441612</v>
      </c>
      <c r="H61" s="2">
        <f t="shared" si="7"/>
        <v>102475.95114959114</v>
      </c>
      <c r="I61" s="2">
        <f t="shared" si="23"/>
        <v>643196.16221421061</v>
      </c>
      <c r="J61" s="2">
        <f t="shared" si="12"/>
        <v>52627.027135520359</v>
      </c>
      <c r="K61" s="6">
        <f t="shared" si="24"/>
        <v>8.9112390081997908E-2</v>
      </c>
      <c r="L61" s="7">
        <f t="shared" si="14"/>
        <v>1.0891123900819979</v>
      </c>
      <c r="O61">
        <f t="shared" si="15"/>
        <v>2014</v>
      </c>
      <c r="P61" s="6">
        <f t="shared" si="8"/>
        <v>0.22240225290156862</v>
      </c>
      <c r="Q61" s="7"/>
      <c r="R61" s="6">
        <f t="shared" si="8"/>
        <v>0.34634854465403503</v>
      </c>
      <c r="S61" s="6">
        <f t="shared" si="8"/>
        <v>0.15276001828104713</v>
      </c>
      <c r="T61" s="7"/>
      <c r="U61" s="6">
        <f t="shared" si="8"/>
        <v>0.11916617017518048</v>
      </c>
      <c r="V61" s="6">
        <f t="shared" si="10"/>
        <v>0.15932301398816875</v>
      </c>
      <c r="W61" s="6">
        <f t="shared" si="16"/>
        <v>1</v>
      </c>
      <c r="X61" s="7">
        <f t="shared" si="17"/>
        <v>0.84067698601183127</v>
      </c>
      <c r="Y61" s="7">
        <f t="shared" si="18"/>
        <v>0</v>
      </c>
    </row>
    <row r="62" spans="1:25" x14ac:dyDescent="0.25">
      <c r="A62">
        <f t="shared" si="3"/>
        <v>2015</v>
      </c>
      <c r="B62" s="2">
        <f t="shared" si="27"/>
        <v>144836.37897825925</v>
      </c>
      <c r="C62" s="2"/>
      <c r="D62" s="2">
        <f t="shared" si="28"/>
        <v>219517.61191118718</v>
      </c>
      <c r="E62" s="2">
        <f t="shared" si="29"/>
        <v>94540.631444712373</v>
      </c>
      <c r="F62" s="2"/>
      <c r="G62" s="2">
        <f t="shared" si="19"/>
        <v>73297.739663250919</v>
      </c>
      <c r="H62" s="2">
        <f t="shared" si="7"/>
        <v>102783.37900303991</v>
      </c>
      <c r="I62" s="2">
        <f t="shared" si="23"/>
        <v>634975.74100044963</v>
      </c>
      <c r="J62" s="2">
        <f t="shared" si="12"/>
        <v>-8220.421213760972</v>
      </c>
      <c r="K62" s="6">
        <f t="shared" si="24"/>
        <v>-1.2780581876393778E-2</v>
      </c>
      <c r="L62" s="7">
        <f t="shared" si="14"/>
        <v>0.98721941812360625</v>
      </c>
      <c r="O62">
        <f t="shared" si="15"/>
        <v>2015</v>
      </c>
      <c r="P62" s="6">
        <f t="shared" si="8"/>
        <v>0.22809749983528377</v>
      </c>
      <c r="Q62" s="7"/>
      <c r="R62" s="6">
        <f t="shared" si="8"/>
        <v>0.34571023385133032</v>
      </c>
      <c r="S62" s="6">
        <f t="shared" si="8"/>
        <v>0.14888857217719351</v>
      </c>
      <c r="T62" s="7"/>
      <c r="U62" s="6">
        <f t="shared" si="8"/>
        <v>0.11543392121999038</v>
      </c>
      <c r="V62" s="6">
        <f t="shared" si="10"/>
        <v>0.16186977291620205</v>
      </c>
      <c r="W62" s="6">
        <f t="shared" si="16"/>
        <v>1</v>
      </c>
      <c r="X62" s="7">
        <f t="shared" si="17"/>
        <v>0.83813022708379803</v>
      </c>
      <c r="Y62" s="7">
        <f t="shared" si="18"/>
        <v>0</v>
      </c>
    </row>
    <row r="63" spans="1:25" x14ac:dyDescent="0.25">
      <c r="A63">
        <f t="shared" si="3"/>
        <v>2016</v>
      </c>
      <c r="B63" s="2">
        <f t="shared" si="27"/>
        <v>161956.03897348951</v>
      </c>
      <c r="C63" s="2"/>
      <c r="D63" s="2">
        <f t="shared" si="28"/>
        <v>243818.21154975559</v>
      </c>
      <c r="E63" s="2">
        <f t="shared" si="29"/>
        <v>111718.66417821661</v>
      </c>
      <c r="F63" s="2"/>
      <c r="G63" s="2">
        <f t="shared" si="19"/>
        <v>76706.084557592083</v>
      </c>
      <c r="H63" s="2">
        <f t="shared" si="7"/>
        <v>105352.9634781159</v>
      </c>
      <c r="I63" s="2">
        <f t="shared" si="23"/>
        <v>699551.96273716958</v>
      </c>
      <c r="J63" s="2">
        <f t="shared" si="12"/>
        <v>64576.221736719948</v>
      </c>
      <c r="K63" s="6">
        <f t="shared" si="24"/>
        <v>0.10169872259210327</v>
      </c>
      <c r="L63" s="7">
        <f t="shared" si="14"/>
        <v>1.1016987225921033</v>
      </c>
      <c r="O63">
        <f t="shared" si="15"/>
        <v>2016</v>
      </c>
      <c r="P63" s="6">
        <f t="shared" si="8"/>
        <v>0.23151395121499849</v>
      </c>
      <c r="Q63" s="7"/>
      <c r="R63" s="6">
        <f t="shared" si="8"/>
        <v>0.3485348116182202</v>
      </c>
      <c r="S63" s="6">
        <f t="shared" si="8"/>
        <v>0.15970030838179594</v>
      </c>
      <c r="T63" s="7"/>
      <c r="U63" s="6">
        <f t="shared" si="8"/>
        <v>0.10965030282734196</v>
      </c>
      <c r="V63" s="6">
        <f t="shared" si="10"/>
        <v>0.15060062595764359</v>
      </c>
      <c r="W63" s="6">
        <f t="shared" si="16"/>
        <v>1.0000000000000002</v>
      </c>
      <c r="X63" s="7">
        <f t="shared" si="17"/>
        <v>0.84939937404235666</v>
      </c>
      <c r="Y63" s="7">
        <f t="shared" si="18"/>
        <v>0</v>
      </c>
    </row>
    <row r="64" spans="1:25" x14ac:dyDescent="0.25">
      <c r="A64">
        <f t="shared" si="3"/>
        <v>2017</v>
      </c>
      <c r="B64" s="2">
        <f t="shared" si="27"/>
        <v>197051.91261904468</v>
      </c>
      <c r="C64" s="2"/>
      <c r="D64" s="2">
        <f t="shared" si="28"/>
        <v>291606.58101350768</v>
      </c>
      <c r="E64" s="2">
        <f t="shared" si="29"/>
        <v>129705.36911090949</v>
      </c>
      <c r="F64" s="2"/>
      <c r="G64" s="2">
        <f t="shared" si="19"/>
        <v>97723.551726372316</v>
      </c>
      <c r="H64" s="2">
        <f t="shared" si="7"/>
        <v>108998.1760144587</v>
      </c>
      <c r="I64" s="2">
        <f t="shared" si="23"/>
        <v>825085.59048429294</v>
      </c>
      <c r="J64" s="2">
        <f t="shared" si="12"/>
        <v>125533.62774712336</v>
      </c>
      <c r="K64" s="6">
        <f t="shared" si="24"/>
        <v>0.17944861058775688</v>
      </c>
      <c r="L64" s="7">
        <f t="shared" si="14"/>
        <v>1.1794486105877569</v>
      </c>
      <c r="O64">
        <f t="shared" si="15"/>
        <v>2017</v>
      </c>
      <c r="P64" s="6">
        <f t="shared" si="8"/>
        <v>0.23882602591978722</v>
      </c>
      <c r="Q64" s="7"/>
      <c r="R64" s="6">
        <f t="shared" si="8"/>
        <v>0.35342585590707748</v>
      </c>
      <c r="S64" s="6">
        <f t="shared" si="8"/>
        <v>0.15720232010690857</v>
      </c>
      <c r="T64" s="7"/>
      <c r="U64" s="6">
        <f t="shared" si="8"/>
        <v>0.11844050223809195</v>
      </c>
      <c r="V64" s="6">
        <f t="shared" si="10"/>
        <v>0.13210529582813468</v>
      </c>
      <c r="W64" s="6">
        <f t="shared" si="16"/>
        <v>1</v>
      </c>
      <c r="X64" s="7">
        <f t="shared" si="17"/>
        <v>0.86789470417186532</v>
      </c>
      <c r="Y64" s="7">
        <f t="shared" si="18"/>
        <v>0</v>
      </c>
    </row>
    <row r="65" spans="1:19" x14ac:dyDescent="0.25">
      <c r="A65" s="9" t="s">
        <v>79</v>
      </c>
      <c r="B65" s="10">
        <f>B64</f>
        <v>197051.91261904468</v>
      </c>
      <c r="C65" s="10"/>
      <c r="D65" s="10">
        <f>D64</f>
        <v>291606.58101350768</v>
      </c>
      <c r="E65" s="10">
        <f>E64</f>
        <v>129705.36911090949</v>
      </c>
      <c r="F65" s="10"/>
      <c r="G65" s="10">
        <f>G64</f>
        <v>97723.551726372316</v>
      </c>
      <c r="H65" s="10">
        <f>H64</f>
        <v>108998.1760144587</v>
      </c>
      <c r="I65" s="52">
        <f>SUM(B64:H64)</f>
        <v>825085.59048429294</v>
      </c>
      <c r="J65" s="10"/>
      <c r="K65" s="10"/>
      <c r="L65" s="74"/>
      <c r="S65" s="7"/>
    </row>
    <row r="66" spans="1:19" x14ac:dyDescent="0.25">
      <c r="A66" s="11" t="s">
        <v>80</v>
      </c>
      <c r="I66" s="51">
        <f>(I65-I39)/I39</f>
        <v>7.2508559048429291</v>
      </c>
      <c r="K66" s="6"/>
      <c r="R66" s="7"/>
    </row>
    <row r="67" spans="1:19" x14ac:dyDescent="0.25">
      <c r="A67" s="1" t="s">
        <v>81</v>
      </c>
      <c r="I67" s="29">
        <f>STDEV(L40:L64)</f>
        <v>0.1334296454754319</v>
      </c>
    </row>
    <row r="68" spans="1:19" x14ac:dyDescent="0.25">
      <c r="A68" s="1" t="s">
        <v>82</v>
      </c>
      <c r="I68" s="13">
        <f>((1+I66)^(1/I73))-1</f>
        <v>8.8077826560102546E-2</v>
      </c>
    </row>
    <row r="69" spans="1:19" x14ac:dyDescent="0.25">
      <c r="A69" s="1" t="s">
        <v>83</v>
      </c>
      <c r="I69" s="31">
        <f>J60</f>
        <v>114761.06151589617</v>
      </c>
    </row>
    <row r="70" spans="1:19" x14ac:dyDescent="0.25">
      <c r="A70" s="1" t="s">
        <v>84</v>
      </c>
      <c r="I70" s="32">
        <f>K60</f>
        <v>0.24119191727155667</v>
      </c>
    </row>
    <row r="71" spans="1:19" x14ac:dyDescent="0.25">
      <c r="A71" s="3" t="s">
        <v>85</v>
      </c>
      <c r="I71" s="33">
        <f>I64-I65</f>
        <v>0</v>
      </c>
    </row>
    <row r="72" spans="1:19" x14ac:dyDescent="0.25">
      <c r="A72" s="3" t="s">
        <v>149</v>
      </c>
      <c r="I72" s="33">
        <f>((SUM(J40:J64))-(I65-I39))</f>
        <v>0</v>
      </c>
    </row>
    <row r="73" spans="1:19" x14ac:dyDescent="0.25">
      <c r="A73" s="3" t="s">
        <v>160</v>
      </c>
      <c r="I73" s="3">
        <f>COUNTA(I40:I64)</f>
        <v>25</v>
      </c>
    </row>
    <row r="74" spans="1:19" x14ac:dyDescent="0.25">
      <c r="A74" s="1" t="s">
        <v>106</v>
      </c>
      <c r="B74" s="63"/>
      <c r="C74" s="63"/>
      <c r="D74" s="63"/>
      <c r="E74" s="63"/>
      <c r="G74" s="63"/>
      <c r="H74" s="63"/>
      <c r="I74" s="86">
        <f>(SUM(B65:G65)/I65)</f>
        <v>0.86789470417186521</v>
      </c>
    </row>
    <row r="75" spans="1:19" x14ac:dyDescent="0.25">
      <c r="A75" s="1" t="s">
        <v>107</v>
      </c>
      <c r="B75" s="63"/>
      <c r="C75" s="63"/>
      <c r="D75" s="63"/>
      <c r="E75" s="63"/>
      <c r="G75" s="63"/>
      <c r="H75" s="63"/>
      <c r="I75" s="86">
        <f>(H65/I65)</f>
        <v>0.13210529582813468</v>
      </c>
    </row>
    <row r="76" spans="1:19" x14ac:dyDescent="0.25">
      <c r="A76" s="3" t="s">
        <v>108</v>
      </c>
      <c r="I76" s="3">
        <f>100%-(I74+I75)</f>
        <v>0</v>
      </c>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76"/>
  <sheetViews>
    <sheetView topLeftCell="AC31" zoomScale="110" zoomScaleNormal="110" workbookViewId="0">
      <selection activeCell="AM67" sqref="AM67"/>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row>
    <row r="5" spans="1:8"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row>
    <row r="6" spans="1:8"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row>
    <row r="7" spans="1:8"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row>
    <row r="8" spans="1:8" x14ac:dyDescent="0.25">
      <c r="A8" s="17">
        <f>'Non-Rebalanced Portfolio'!A8</f>
        <v>1997</v>
      </c>
      <c r="B8" s="17">
        <f>'Non-Rebalanced Portfolio'!B8</f>
        <v>33.19</v>
      </c>
      <c r="C8" s="17">
        <f>'Non-Rebalanced Portfolio'!C8</f>
        <v>26.687000000000001</v>
      </c>
      <c r="D8" s="17"/>
      <c r="E8" s="17"/>
      <c r="F8" s="17">
        <f>'Non-Rebalanced Portfolio'!F8</f>
        <v>0</v>
      </c>
      <c r="G8" s="17"/>
      <c r="H8" s="17">
        <f>'Non-Rebalanced Portfolio'!H8</f>
        <v>9.44</v>
      </c>
    </row>
    <row r="9" spans="1:8" x14ac:dyDescent="0.25">
      <c r="A9" s="17">
        <f>'Non-Rebalanced Portfolio'!A9</f>
        <v>1998</v>
      </c>
      <c r="B9" s="17">
        <f>'Non-Rebalanced Portfolio'!B9</f>
        <v>28.66</v>
      </c>
      <c r="C9" s="17">
        <f>'Non-Rebalanced Portfolio'!C9</f>
        <v>8.3529999999999998</v>
      </c>
      <c r="D9" s="17"/>
      <c r="E9" s="17"/>
      <c r="F9" s="17">
        <f>'Non-Rebalanced Portfolio'!F9</f>
        <v>0</v>
      </c>
      <c r="G9" s="17">
        <f>'Non-Rebalanced Portfolio'!G9</f>
        <v>15.603</v>
      </c>
      <c r="H9" s="17">
        <f>'Non-Rebalanced Portfolio'!H9</f>
        <v>8.58</v>
      </c>
    </row>
    <row r="10" spans="1:8" x14ac:dyDescent="0.25">
      <c r="A10" s="17">
        <f>'Non-Rebalanced Portfolio'!A10</f>
        <v>1999</v>
      </c>
      <c r="B10" s="17">
        <f>'Non-Rebalanced Portfolio'!B10</f>
        <v>21.07</v>
      </c>
      <c r="C10" s="17">
        <f>'Non-Rebalanced Portfolio'!C10</f>
        <v>0</v>
      </c>
      <c r="D10" s="17"/>
      <c r="E10" s="17"/>
      <c r="F10" s="17">
        <f>'Non-Rebalanced Portfolio'!F10</f>
        <v>0</v>
      </c>
      <c r="G10" s="17">
        <f>'Non-Rebalanced Portfolio'!G10</f>
        <v>29.919</v>
      </c>
      <c r="H10" s="17">
        <f>'Non-Rebalanced Portfolio'!H10</f>
        <v>-0.76</v>
      </c>
    </row>
    <row r="11" spans="1:8" x14ac:dyDescent="0.25">
      <c r="A11" s="17">
        <f>'Non-Rebalanced Portfolio'!A11</f>
        <v>2000</v>
      </c>
      <c r="B11" s="17">
        <f>'Non-Rebalanced Portfolio'!B11</f>
        <v>-9.06</v>
      </c>
      <c r="C11" s="17">
        <f>'Non-Rebalanced Portfolio'!C11</f>
        <v>0</v>
      </c>
      <c r="D11" s="17">
        <f>'Non-Rebalanced Portfolio'!D11</f>
        <v>18.097999999999999</v>
      </c>
      <c r="E11" s="17">
        <f>'Non-Rebalanced Portfolio'!E11</f>
        <v>-2.665</v>
      </c>
      <c r="F11" s="17">
        <f>'Non-Rebalanced Portfolio'!F11</f>
        <v>0</v>
      </c>
      <c r="G11" s="17">
        <f>'Non-Rebalanced Portfolio'!G11</f>
        <v>-15.614000000000001</v>
      </c>
      <c r="H11" s="17">
        <f>'Non-Rebalanced Portfolio'!H11</f>
        <v>11.39</v>
      </c>
    </row>
    <row r="12" spans="1:8" x14ac:dyDescent="0.25">
      <c r="A12" s="17">
        <f>'Non-Rebalanced Portfolio'!A12</f>
        <v>2001</v>
      </c>
      <c r="B12" s="17">
        <f>'Non-Rebalanced Portfolio'!B12</f>
        <v>-12.02</v>
      </c>
      <c r="C12" s="17">
        <f>'Non-Rebalanced Portfolio'!C12</f>
        <v>0</v>
      </c>
      <c r="D12" s="17">
        <f>'Non-Rebalanced Portfolio'!D12</f>
        <v>-0.499</v>
      </c>
      <c r="E12" s="17">
        <f>'Non-Rebalanced Portfolio'!E12</f>
        <v>3.1</v>
      </c>
      <c r="F12" s="17"/>
      <c r="G12" s="17">
        <f>'Non-Rebalanced Portfolio'!G12</f>
        <v>-20.152999999999999</v>
      </c>
      <c r="H12" s="17">
        <f>'Non-Rebalanced Portfolio'!H12</f>
        <v>8.43</v>
      </c>
    </row>
    <row r="13" spans="1:8" x14ac:dyDescent="0.25">
      <c r="A13" s="17">
        <f>'Non-Rebalanced Portfolio'!A13</f>
        <v>2002</v>
      </c>
      <c r="B13" s="17">
        <f>'Non-Rebalanced Portfolio'!B13</f>
        <v>-22.15</v>
      </c>
      <c r="C13" s="17">
        <f>'Non-Rebalanced Portfolio'!C13</f>
        <v>0</v>
      </c>
      <c r="D13" s="17">
        <f>'Non-Rebalanced Portfolio'!D13</f>
        <v>-14.608000000000001</v>
      </c>
      <c r="E13" s="17">
        <f>'Non-Rebalanced Portfolio'!E13</f>
        <v>-20.021999999999998</v>
      </c>
      <c r="F13" s="17"/>
      <c r="G13" s="18">
        <f>'Non-Rebalanced Portfolio'!G13</f>
        <v>-15.083</v>
      </c>
      <c r="H13" s="17">
        <f>'Non-Rebalanced Portfolio'!H13</f>
        <v>8.26</v>
      </c>
    </row>
    <row r="14" spans="1:8" x14ac:dyDescent="0.25">
      <c r="A14" s="17">
        <f>'Non-Rebalanced Portfolio'!A14</f>
        <v>2003</v>
      </c>
      <c r="B14" s="17">
        <f>'Non-Rebalanced Portfolio'!B14</f>
        <v>28.5</v>
      </c>
      <c r="C14" s="17"/>
      <c r="D14" s="18">
        <f>'Non-Rebalanced Portfolio'!D14</f>
        <v>34.142000000000003</v>
      </c>
      <c r="E14" s="18">
        <f>'Non-Rebalanced Portfolio'!E14</f>
        <v>45.628</v>
      </c>
      <c r="F14" s="17"/>
      <c r="G14" s="17">
        <f>'Non-Rebalanced Portfolio'!G14</f>
        <v>40.340000000000003</v>
      </c>
      <c r="H14" s="17">
        <f>'Non-Rebalanced Portfolio'!H14</f>
        <v>3.97</v>
      </c>
    </row>
    <row r="15" spans="1:8" x14ac:dyDescent="0.25">
      <c r="A15" s="17">
        <f>'Non-Rebalanced Portfolio'!A15</f>
        <v>2004</v>
      </c>
      <c r="B15" s="17">
        <f>'Non-Rebalanced Portfolio'!B15</f>
        <v>10.74</v>
      </c>
      <c r="C15" s="17"/>
      <c r="D15" s="18">
        <f>'Non-Rebalanced Portfolio'!D15</f>
        <v>20.353000000000002</v>
      </c>
      <c r="E15" s="18">
        <f>'Non-Rebalanced Portfolio'!E15</f>
        <v>19.896999999999998</v>
      </c>
      <c r="F15" s="17"/>
      <c r="G15" s="17">
        <f>'Non-Rebalanced Portfolio'!G15</f>
        <v>20.837</v>
      </c>
      <c r="H15" s="17">
        <f>'Non-Rebalanced Portfolio'!H15</f>
        <v>4.24</v>
      </c>
    </row>
    <row r="16" spans="1:8"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row>
    <row r="17" spans="1:8"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row>
    <row r="18" spans="1:8"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row>
    <row r="19" spans="1:8"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row>
    <row r="20" spans="1:8"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row>
    <row r="21" spans="1:8"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row>
    <row r="22" spans="1:8"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row>
    <row r="23" spans="1:8"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row>
    <row r="24" spans="1:8"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row>
    <row r="25" spans="1:8"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row>
    <row r="26" spans="1:8"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row>
    <row r="27" spans="1:8"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row>
    <row r="28" spans="1:8"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row>
    <row r="29" spans="1:8"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5">
      <c r="A36" s="20" t="s">
        <v>117</v>
      </c>
      <c r="O36" s="20" t="s">
        <v>127</v>
      </c>
      <c r="AB36" s="20" t="s">
        <v>18</v>
      </c>
      <c r="AL36" s="20" t="s">
        <v>21</v>
      </c>
    </row>
    <row r="37" spans="1:47"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89</v>
      </c>
    </row>
    <row r="38" spans="1:47"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73</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88</v>
      </c>
    </row>
    <row r="39" spans="1:47" x14ac:dyDescent="0.25">
      <c r="A39" t="s">
        <v>72</v>
      </c>
      <c r="B39" s="2">
        <f>'Non-Rebalanced Portfolio'!B39</f>
        <v>20000</v>
      </c>
      <c r="C39" s="2">
        <f>'Non-Rebalanced Portfolio'!C39</f>
        <v>30000</v>
      </c>
      <c r="F39" s="2">
        <f>'Non-Rebalanced Portfolio'!F39</f>
        <v>20000</v>
      </c>
      <c r="H39" s="2">
        <f>'Non-Rebalanced Portfolio'!H39</f>
        <v>30000</v>
      </c>
      <c r="I39" s="2">
        <f>SUM(B39:H39)</f>
        <v>100000</v>
      </c>
      <c r="O39" s="21" t="s">
        <v>87</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5">
      <c r="A40">
        <f t="shared" ref="A40:A64" si="4">A4</f>
        <v>1993</v>
      </c>
      <c r="B40" s="2">
        <f>B39*(1+(B4/100))</f>
        <v>21978</v>
      </c>
      <c r="C40" s="2">
        <f>C39*(1+(C4/100))</f>
        <v>34347</v>
      </c>
      <c r="D40" s="2"/>
      <c r="E40" s="2"/>
      <c r="F40" s="2">
        <f>F39*(1+(F4/100))</f>
        <v>26098.799999999999</v>
      </c>
      <c r="G40" s="2"/>
      <c r="H40" s="2">
        <f>H39*(1+(H4/100))</f>
        <v>32904</v>
      </c>
      <c r="I40" s="2">
        <f>SUM(B40:H40)</f>
        <v>115327.8</v>
      </c>
      <c r="J40" s="2">
        <f>I40-I39</f>
        <v>15327.800000000003</v>
      </c>
      <c r="K40" s="6">
        <f>(J40/I39)</f>
        <v>0.15327800000000003</v>
      </c>
      <c r="L40" s="7">
        <f>K40+1</f>
        <v>1.153278</v>
      </c>
      <c r="O40">
        <f>A40</f>
        <v>1993</v>
      </c>
      <c r="P40" s="6">
        <f t="shared" ref="P40:U64" si="5">B40/$I40</f>
        <v>0.19056983658753571</v>
      </c>
      <c r="Q40" s="6">
        <f t="shared" ref="Q40:Q50" si="6">C40/$I40</f>
        <v>0.29782064688652693</v>
      </c>
      <c r="R40" s="7"/>
      <c r="S40" s="7"/>
      <c r="T40" s="6">
        <f t="shared" ref="T40:T48" si="7">F40/$I40</f>
        <v>0.22630103062748097</v>
      </c>
      <c r="U40" s="7"/>
      <c r="V40" s="6">
        <f t="shared" ref="V40:V64" si="8">H40/$I40</f>
        <v>0.28530848589845637</v>
      </c>
      <c r="W40" s="6">
        <f>SUM(P40:V40)</f>
        <v>1</v>
      </c>
      <c r="X40" s="7">
        <f>SUM(P40:U40)</f>
        <v>0.71469151410154363</v>
      </c>
      <c r="Y40" s="7">
        <f>W40-(X40+V40)</f>
        <v>0</v>
      </c>
      <c r="Z40" s="6"/>
      <c r="AB40">
        <f>O40</f>
        <v>1993</v>
      </c>
      <c r="AC40" s="1" t="b">
        <f>AND((B40/$I40)&gt;0.15,(B40/$I40)&lt;0.25)</f>
        <v>1</v>
      </c>
      <c r="AD40" s="1" t="b">
        <f>AND((C40/$I40)&gt;0.25,(C40/$I40)&lt;0.35)</f>
        <v>1</v>
      </c>
      <c r="AG40" s="1" t="b">
        <f t="shared" ref="AG40:AH45" si="9">AND((F40/$I40)&gt;0.15,(F40/$I40)&lt;0.25)</f>
        <v>1</v>
      </c>
      <c r="AI40" s="1" t="b">
        <f>AND((H40/$I40)&gt;0.25,(H40/$I40)&lt;0.35)</f>
        <v>1</v>
      </c>
      <c r="AJ40" s="1" t="b">
        <f>AND((I40/$I40)&gt;0.999,(I40/$I40)&lt;1.01)</f>
        <v>1</v>
      </c>
      <c r="AL40">
        <f>A40</f>
        <v>1993</v>
      </c>
      <c r="AM40" s="2">
        <f>B40</f>
        <v>21978</v>
      </c>
      <c r="AN40" s="2">
        <f t="shared" ref="AN40:AN41" si="10">C40</f>
        <v>34347</v>
      </c>
      <c r="AO40" s="2"/>
      <c r="AP40" s="2"/>
      <c r="AQ40" s="2">
        <f t="shared" ref="AQ40:AQ41" si="11">F40</f>
        <v>26098.799999999999</v>
      </c>
      <c r="AR40" s="2"/>
      <c r="AS40" s="2">
        <f t="shared" ref="AS40:AS64" si="12">H40</f>
        <v>32904</v>
      </c>
      <c r="AT40" s="2">
        <f>SUM(AM40:AS40)</f>
        <v>115327.8</v>
      </c>
      <c r="AU40" s="2">
        <f>AT40-I40</f>
        <v>0</v>
      </c>
    </row>
    <row r="41" spans="1:47" x14ac:dyDescent="0.25">
      <c r="A41">
        <f t="shared" si="4"/>
        <v>1994</v>
      </c>
      <c r="B41" s="2">
        <f t="shared" ref="B41:B50" si="13">AM40*(1+(B5/100))</f>
        <v>22237.340400000001</v>
      </c>
      <c r="C41" s="2">
        <f t="shared" ref="C41:C45" si="14">AN40*(1+(C5/100))</f>
        <v>33741.118920000001</v>
      </c>
      <c r="D41" s="2"/>
      <c r="E41" s="2"/>
      <c r="F41" s="2">
        <f t="shared" ref="F41:F43" si="15">AQ40*(1+(F5/100))</f>
        <v>27470.291940000003</v>
      </c>
      <c r="G41" s="2"/>
      <c r="H41" s="2">
        <f t="shared" ref="H41:H64" si="16">AS40*(1+(H5/100))</f>
        <v>32028.7536</v>
      </c>
      <c r="I41" s="2">
        <f t="shared" ref="I41:I64" si="17">SUM(B41:H41)</f>
        <v>115477.50486</v>
      </c>
      <c r="J41" s="2">
        <f t="shared" ref="J41:J64" si="18">I41-I40</f>
        <v>149.70485999999801</v>
      </c>
      <c r="K41" s="6">
        <f t="shared" ref="K41:K64" si="19">(J41/I40)</f>
        <v>1.2980812952297538E-3</v>
      </c>
      <c r="L41" s="7">
        <f t="shared" ref="L41:L64" si="20">K41+1</f>
        <v>1.0012980812952297</v>
      </c>
      <c r="O41">
        <f t="shared" ref="O41:O64" si="21">A41</f>
        <v>1994</v>
      </c>
      <c r="P41" s="6">
        <f t="shared" si="5"/>
        <v>0.19256859097327747</v>
      </c>
      <c r="Q41" s="6">
        <f t="shared" si="6"/>
        <v>0.29218780714829518</v>
      </c>
      <c r="R41" s="7"/>
      <c r="S41" s="7"/>
      <c r="T41" s="6">
        <f t="shared" si="7"/>
        <v>0.23788435655328552</v>
      </c>
      <c r="U41" s="7"/>
      <c r="V41" s="6">
        <f t="shared" si="8"/>
        <v>0.27735924532514183</v>
      </c>
      <c r="W41" s="6">
        <f t="shared" ref="W41:W64" si="22">SUM(P41:V41)</f>
        <v>1</v>
      </c>
      <c r="X41" s="7">
        <f t="shared" ref="X41:X64" si="23">SUM(P41:U41)</f>
        <v>0.72264075467485822</v>
      </c>
      <c r="Y41" s="7">
        <f t="shared" ref="Y41:Y64" si="24">W41-(X41+V41)</f>
        <v>0</v>
      </c>
      <c r="Z41" s="6"/>
      <c r="AB41">
        <f t="shared" ref="AB41:AB64" si="25">O41</f>
        <v>1994</v>
      </c>
      <c r="AC41" s="1" t="b">
        <f t="shared" ref="AC41:AC64" si="26">AND((B41/$I41)&gt;0.15,(B41/$I41)&lt;0.25)</f>
        <v>1</v>
      </c>
      <c r="AD41" s="1" t="b">
        <f t="shared" ref="AD41:AD45" si="27">AND((C41/$I41)&gt;0.25,(C41/$I41)&lt;0.35)</f>
        <v>1</v>
      </c>
      <c r="AG41" s="1" t="b">
        <f t="shared" si="9"/>
        <v>1</v>
      </c>
      <c r="AI41" s="1" t="b">
        <f t="shared" ref="AI41:AI64" si="28">AND((H41/$I41)&gt;0.25,(H41/$I41)&lt;0.35)</f>
        <v>1</v>
      </c>
      <c r="AJ41" s="1" t="b">
        <f t="shared" ref="AJ41:AJ64" si="29">AND((I41/$I41)&gt;0.999,(I41/$I41)&lt;1.01)</f>
        <v>1</v>
      </c>
      <c r="AL41">
        <f t="shared" ref="AL41:AL64" si="30">A41</f>
        <v>1994</v>
      </c>
      <c r="AM41" s="2">
        <f>B41</f>
        <v>22237.340400000001</v>
      </c>
      <c r="AN41" s="2">
        <f t="shared" si="10"/>
        <v>33741.118920000001</v>
      </c>
      <c r="AO41" s="2"/>
      <c r="AP41" s="2"/>
      <c r="AQ41" s="2">
        <f t="shared" si="11"/>
        <v>27470.291940000003</v>
      </c>
      <c r="AR41" s="2"/>
      <c r="AS41" s="2">
        <f t="shared" si="12"/>
        <v>32028.7536</v>
      </c>
      <c r="AT41" s="2">
        <f t="shared" ref="AT41:AT64" si="31">I41</f>
        <v>115477.50486</v>
      </c>
      <c r="AU41" s="2">
        <f t="shared" ref="AU41:AU64" si="32">AT41-I41</f>
        <v>0</v>
      </c>
    </row>
    <row r="42" spans="1:47" x14ac:dyDescent="0.25">
      <c r="A42">
        <f t="shared" si="4"/>
        <v>1995</v>
      </c>
      <c r="B42" s="2">
        <f t="shared" si="13"/>
        <v>30565.224379800002</v>
      </c>
      <c r="C42" s="2">
        <f t="shared" si="14"/>
        <v>45144.604881392399</v>
      </c>
      <c r="D42" s="2"/>
      <c r="E42" s="2"/>
      <c r="F42" s="2">
        <f t="shared" si="15"/>
        <v>30120.076300532404</v>
      </c>
      <c r="G42" s="2"/>
      <c r="H42" s="2">
        <f t="shared" si="16"/>
        <v>37851.581004480002</v>
      </c>
      <c r="I42" s="2">
        <f t="shared" ref="I42:I48" si="33">SUM(B42:H42)</f>
        <v>143681.48656620481</v>
      </c>
      <c r="J42" s="2">
        <f t="shared" si="18"/>
        <v>28203.98170620481</v>
      </c>
      <c r="K42" s="6">
        <f t="shared" si="19"/>
        <v>0.24423788633464252</v>
      </c>
      <c r="L42" s="7">
        <f t="shared" si="20"/>
        <v>1.2442378863346426</v>
      </c>
      <c r="O42">
        <f t="shared" si="21"/>
        <v>1995</v>
      </c>
      <c r="P42" s="6">
        <f t="shared" si="5"/>
        <v>0.21272903775056862</v>
      </c>
      <c r="Q42" s="6">
        <f t="shared" si="6"/>
        <v>0.31419917736298547</v>
      </c>
      <c r="R42" s="7"/>
      <c r="S42" s="7"/>
      <c r="T42" s="6">
        <f t="shared" si="7"/>
        <v>0.20963087883040402</v>
      </c>
      <c r="U42" s="7"/>
      <c r="V42" s="6">
        <f t="shared" si="8"/>
        <v>0.26344090605604187</v>
      </c>
      <c r="W42" s="6">
        <f t="shared" si="22"/>
        <v>1</v>
      </c>
      <c r="X42" s="7">
        <f t="shared" si="23"/>
        <v>0.73655909394395813</v>
      </c>
      <c r="Y42" s="7">
        <f t="shared" si="24"/>
        <v>0</v>
      </c>
      <c r="Z42" s="6"/>
      <c r="AB42">
        <f t="shared" si="25"/>
        <v>1995</v>
      </c>
      <c r="AC42" s="1" t="b">
        <f t="shared" si="26"/>
        <v>1</v>
      </c>
      <c r="AD42" s="1" t="b">
        <f t="shared" si="27"/>
        <v>1</v>
      </c>
      <c r="AG42" s="35" t="b">
        <f t="shared" si="9"/>
        <v>1</v>
      </c>
      <c r="AI42" s="1" t="b">
        <f t="shared" si="28"/>
        <v>1</v>
      </c>
      <c r="AJ42" s="1" t="b">
        <f t="shared" si="29"/>
        <v>1</v>
      </c>
      <c r="AL42">
        <f t="shared" si="30"/>
        <v>1995</v>
      </c>
      <c r="AM42" s="2">
        <f>B42</f>
        <v>30565.224379800002</v>
      </c>
      <c r="AN42" s="2">
        <f t="shared" ref="AN42" si="34">C42</f>
        <v>45144.604881392399</v>
      </c>
      <c r="AO42" s="2"/>
      <c r="AP42" s="2"/>
      <c r="AQ42" s="2">
        <f t="shared" ref="AQ42" si="35">F42</f>
        <v>30120.076300532404</v>
      </c>
      <c r="AR42" s="2"/>
      <c r="AS42" s="2">
        <f t="shared" ref="AS42" si="36">H42</f>
        <v>37851.581004480002</v>
      </c>
      <c r="AT42" s="2">
        <f t="shared" si="31"/>
        <v>143681.48656620481</v>
      </c>
      <c r="AU42" s="2">
        <f t="shared" si="32"/>
        <v>0</v>
      </c>
    </row>
    <row r="43" spans="1:47" x14ac:dyDescent="0.25">
      <c r="A43">
        <f t="shared" si="4"/>
        <v>1996</v>
      </c>
      <c r="B43" s="2">
        <f t="shared" si="13"/>
        <v>37558.547717898247</v>
      </c>
      <c r="C43" s="2">
        <f t="shared" si="14"/>
        <v>53111.273304811708</v>
      </c>
      <c r="D43" s="2"/>
      <c r="E43" s="2"/>
      <c r="F43" s="2">
        <f t="shared" si="15"/>
        <v>33198.046897683809</v>
      </c>
      <c r="G43" s="2"/>
      <c r="H43" s="2">
        <f t="shared" si="16"/>
        <v>39206.667604440387</v>
      </c>
      <c r="I43" s="2">
        <f t="shared" si="33"/>
        <v>163074.53552483415</v>
      </c>
      <c r="J43" s="2">
        <f t="shared" si="18"/>
        <v>19393.048958629341</v>
      </c>
      <c r="K43" s="6">
        <f t="shared" si="19"/>
        <v>0.13497249661106139</v>
      </c>
      <c r="L43" s="7">
        <f t="shared" si="20"/>
        <v>1.1349724966110615</v>
      </c>
      <c r="O43">
        <f t="shared" si="21"/>
        <v>1996</v>
      </c>
      <c r="P43" s="6">
        <f t="shared" si="5"/>
        <v>0.23031522117797823</v>
      </c>
      <c r="Q43" s="6">
        <f t="shared" si="6"/>
        <v>0.32568710457386857</v>
      </c>
      <c r="R43" s="7"/>
      <c r="S43" s="7"/>
      <c r="T43" s="38">
        <f t="shared" si="7"/>
        <v>0.20357590957312999</v>
      </c>
      <c r="U43" s="7"/>
      <c r="V43" s="6">
        <f t="shared" si="8"/>
        <v>0.24042176467502319</v>
      </c>
      <c r="W43" s="6">
        <f t="shared" si="22"/>
        <v>1</v>
      </c>
      <c r="X43" s="7">
        <f t="shared" si="23"/>
        <v>0.75957823532497681</v>
      </c>
      <c r="Y43" s="7">
        <f t="shared" si="24"/>
        <v>0</v>
      </c>
      <c r="Z43" s="6"/>
      <c r="AB43">
        <f t="shared" si="25"/>
        <v>1996</v>
      </c>
      <c r="AC43" s="1" t="b">
        <f t="shared" si="26"/>
        <v>1</v>
      </c>
      <c r="AD43" s="1" t="b">
        <f t="shared" si="27"/>
        <v>1</v>
      </c>
      <c r="AG43" s="1" t="b">
        <f t="shared" si="9"/>
        <v>1</v>
      </c>
      <c r="AI43" s="39" t="b">
        <f t="shared" si="28"/>
        <v>0</v>
      </c>
      <c r="AJ43" s="1" t="b">
        <f t="shared" si="29"/>
        <v>1</v>
      </c>
      <c r="AL43">
        <f t="shared" si="30"/>
        <v>1996</v>
      </c>
      <c r="AM43" s="40">
        <f>AM$39*$AT43</f>
        <v>32614.907104966831</v>
      </c>
      <c r="AN43" s="40">
        <f>AN$39*$AT43</f>
        <v>48922.360657450241</v>
      </c>
      <c r="AO43" s="2"/>
      <c r="AP43" s="2"/>
      <c r="AQ43" s="40">
        <f>AQ$39*$AT43</f>
        <v>32614.907104966831</v>
      </c>
      <c r="AR43" s="2"/>
      <c r="AS43" s="40">
        <f>AS$39*$AT43</f>
        <v>48922.360657450241</v>
      </c>
      <c r="AT43" s="2">
        <f t="shared" si="31"/>
        <v>163074.53552483415</v>
      </c>
      <c r="AU43" s="2">
        <f t="shared" si="32"/>
        <v>0</v>
      </c>
    </row>
    <row r="44" spans="1:47" x14ac:dyDescent="0.25">
      <c r="A44">
        <f t="shared" si="4"/>
        <v>1997</v>
      </c>
      <c r="B44" s="2">
        <f t="shared" si="13"/>
        <v>43439.794773105328</v>
      </c>
      <c r="C44" s="2">
        <f t="shared" si="14"/>
        <v>61978.271046103982</v>
      </c>
      <c r="D44" s="2"/>
      <c r="E44" s="2"/>
      <c r="F44" s="2"/>
      <c r="G44" s="2">
        <f>AQ43*(1+(G8/100))</f>
        <v>32614.907104966831</v>
      </c>
      <c r="H44" s="2">
        <f t="shared" si="16"/>
        <v>53540.631503513549</v>
      </c>
      <c r="I44" s="2">
        <f t="shared" si="33"/>
        <v>191573.60442768969</v>
      </c>
      <c r="J44" s="2">
        <f t="shared" si="18"/>
        <v>28499.068902855535</v>
      </c>
      <c r="K44" s="6">
        <f t="shared" si="19"/>
        <v>0.17476099999999997</v>
      </c>
      <c r="L44" s="7">
        <f t="shared" si="20"/>
        <v>1.1747609999999999</v>
      </c>
      <c r="O44">
        <f t="shared" si="21"/>
        <v>1997</v>
      </c>
      <c r="P44" s="6">
        <f t="shared" si="5"/>
        <v>0.22675250540322675</v>
      </c>
      <c r="Q44" s="6">
        <f t="shared" si="6"/>
        <v>0.32352197595936533</v>
      </c>
      <c r="R44" s="7"/>
      <c r="S44" s="7"/>
      <c r="T44" s="38">
        <f t="shared" si="7"/>
        <v>0</v>
      </c>
      <c r="U44" s="7"/>
      <c r="V44" s="6">
        <f t="shared" si="8"/>
        <v>0.27947812363536073</v>
      </c>
      <c r="W44" s="6">
        <f t="shared" si="22"/>
        <v>0.82975260499795278</v>
      </c>
      <c r="X44" s="7">
        <f t="shared" si="23"/>
        <v>0.55027448136259205</v>
      </c>
      <c r="Y44" s="7">
        <f t="shared" si="24"/>
        <v>0</v>
      </c>
      <c r="Z44" s="6"/>
      <c r="AB44">
        <f t="shared" si="25"/>
        <v>1997</v>
      </c>
      <c r="AC44" s="1" t="b">
        <f t="shared" si="26"/>
        <v>1</v>
      </c>
      <c r="AD44" s="1" t="b">
        <f t="shared" si="27"/>
        <v>1</v>
      </c>
      <c r="AG44" s="1"/>
      <c r="AH44" s="1" t="b">
        <f t="shared" si="9"/>
        <v>1</v>
      </c>
      <c r="AI44" s="1" t="b">
        <f t="shared" si="28"/>
        <v>1</v>
      </c>
      <c r="AJ44" s="1" t="b">
        <f t="shared" si="29"/>
        <v>1</v>
      </c>
      <c r="AL44">
        <f t="shared" si="30"/>
        <v>1997</v>
      </c>
      <c r="AM44" s="2">
        <f>B44</f>
        <v>43439.794773105328</v>
      </c>
      <c r="AN44" s="2">
        <f>C44</f>
        <v>61978.271046103982</v>
      </c>
      <c r="AO44" s="2"/>
      <c r="AP44" s="2"/>
      <c r="AQ44" s="2"/>
      <c r="AR44" s="2">
        <f>G44</f>
        <v>32614.907104966831</v>
      </c>
      <c r="AS44" s="2">
        <f>H44</f>
        <v>53540.631503513549</v>
      </c>
      <c r="AT44" s="2">
        <f t="shared" si="31"/>
        <v>191573.60442768969</v>
      </c>
      <c r="AU44" s="2">
        <f t="shared" si="32"/>
        <v>0</v>
      </c>
    </row>
    <row r="45" spans="1:47" x14ac:dyDescent="0.25">
      <c r="A45">
        <f t="shared" si="4"/>
        <v>1998</v>
      </c>
      <c r="B45" s="2">
        <f t="shared" si="13"/>
        <v>55889.639955077313</v>
      </c>
      <c r="C45" s="2">
        <f t="shared" si="14"/>
        <v>67155.31602658506</v>
      </c>
      <c r="D45" s="2"/>
      <c r="E45" s="2"/>
      <c r="F45" s="2"/>
      <c r="G45" s="2">
        <f>AR44*(1+(G9/100))</f>
        <v>37703.811060554799</v>
      </c>
      <c r="H45" s="2">
        <f t="shared" si="16"/>
        <v>58134.417686515015</v>
      </c>
      <c r="I45" s="2">
        <f t="shared" ref="I45" si="37">SUM(B45:H45)</f>
        <v>218883.18472873222</v>
      </c>
      <c r="J45" s="2">
        <f t="shared" si="18"/>
        <v>27309.58030104253</v>
      </c>
      <c r="K45" s="6">
        <f t="shared" si="19"/>
        <v>0.14255398275053416</v>
      </c>
      <c r="L45" s="7">
        <f t="shared" si="20"/>
        <v>1.1425539827505342</v>
      </c>
      <c r="O45">
        <f t="shared" si="21"/>
        <v>1998</v>
      </c>
      <c r="P45" s="6">
        <f t="shared" si="5"/>
        <v>0.25534003456840615</v>
      </c>
      <c r="Q45" s="6">
        <f t="shared" si="6"/>
        <v>0.30680893148467497</v>
      </c>
      <c r="R45" s="7"/>
      <c r="S45" s="7"/>
      <c r="T45" s="6">
        <f t="shared" si="7"/>
        <v>0</v>
      </c>
      <c r="U45" s="7"/>
      <c r="V45" s="6">
        <f t="shared" si="8"/>
        <v>0.26559563156284732</v>
      </c>
      <c r="W45" s="6">
        <f t="shared" si="22"/>
        <v>0.82774459761592856</v>
      </c>
      <c r="X45" s="7">
        <f t="shared" si="23"/>
        <v>0.56214896605308118</v>
      </c>
      <c r="Y45" s="7">
        <f t="shared" si="24"/>
        <v>0</v>
      </c>
      <c r="Z45" s="6"/>
      <c r="AB45">
        <f t="shared" si="25"/>
        <v>1998</v>
      </c>
      <c r="AC45" s="39" t="b">
        <f t="shared" si="26"/>
        <v>0</v>
      </c>
      <c r="AD45" s="1" t="b">
        <f t="shared" si="27"/>
        <v>1</v>
      </c>
      <c r="AE45" s="1"/>
      <c r="AF45" s="1"/>
      <c r="AG45" s="1"/>
      <c r="AH45" s="1" t="b">
        <f t="shared" si="9"/>
        <v>1</v>
      </c>
      <c r="AI45" s="1" t="b">
        <f t="shared" si="28"/>
        <v>1</v>
      </c>
      <c r="AJ45" s="1" t="b">
        <f t="shared" si="29"/>
        <v>1</v>
      </c>
      <c r="AL45">
        <f t="shared" si="30"/>
        <v>1998</v>
      </c>
      <c r="AM45" s="40">
        <f>AM$39*$AT45</f>
        <v>43776.636945746446</v>
      </c>
      <c r="AN45" s="40">
        <f>AN$39*$AT45</f>
        <v>65664.955418619662</v>
      </c>
      <c r="AO45" s="2"/>
      <c r="AP45" s="2"/>
      <c r="AQ45" s="63"/>
      <c r="AR45" s="40">
        <f>AR$39*$AT45</f>
        <v>43776.636945746446</v>
      </c>
      <c r="AS45" s="40">
        <f>AS$39*$AT45</f>
        <v>65664.955418619662</v>
      </c>
      <c r="AT45" s="2">
        <f t="shared" si="31"/>
        <v>218883.18472873222</v>
      </c>
      <c r="AU45" s="2">
        <f t="shared" si="32"/>
        <v>0</v>
      </c>
    </row>
    <row r="46" spans="1:47" x14ac:dyDescent="0.25">
      <c r="A46">
        <f t="shared" si="4"/>
        <v>1999</v>
      </c>
      <c r="B46" s="2">
        <f t="shared" si="13"/>
        <v>53000.374350215228</v>
      </c>
      <c r="C46" s="2"/>
      <c r="D46" s="2">
        <f>(AN45*0.67)*(1+(D10/100))</f>
        <v>43995.520130475175</v>
      </c>
      <c r="E46" s="2">
        <f>(AN45*0.33)*(1+(E10/100))</f>
        <v>21669.43528814449</v>
      </c>
      <c r="F46" s="2"/>
      <c r="G46" s="2">
        <f>AR45*(1+(G10/100))</f>
        <v>56874.168953544329</v>
      </c>
      <c r="H46" s="2">
        <f t="shared" si="16"/>
        <v>65165.901757438151</v>
      </c>
      <c r="I46" s="2">
        <f t="shared" si="33"/>
        <v>240705.40047981736</v>
      </c>
      <c r="J46" s="2">
        <f t="shared" si="18"/>
        <v>21822.215751085139</v>
      </c>
      <c r="K46" s="6">
        <f t="shared" si="19"/>
        <v>9.9697999999999981E-2</v>
      </c>
      <c r="L46" s="7">
        <f t="shared" si="20"/>
        <v>1.0996980000000001</v>
      </c>
      <c r="O46">
        <f t="shared" si="21"/>
        <v>1999</v>
      </c>
      <c r="P46" s="6">
        <f t="shared" si="5"/>
        <v>0.22018772426611674</v>
      </c>
      <c r="Q46" s="6">
        <f t="shared" si="6"/>
        <v>0</v>
      </c>
      <c r="R46" s="7"/>
      <c r="S46" s="7"/>
      <c r="T46" s="6">
        <f t="shared" si="7"/>
        <v>0</v>
      </c>
      <c r="U46" s="7"/>
      <c r="V46" s="6">
        <f t="shared" si="8"/>
        <v>0.27072887283599678</v>
      </c>
      <c r="W46" s="6">
        <f t="shared" si="22"/>
        <v>0.49091659710211355</v>
      </c>
      <c r="X46" s="7">
        <f t="shared" si="23"/>
        <v>0.22018772426611674</v>
      </c>
      <c r="Y46" s="7">
        <f t="shared" si="24"/>
        <v>0</v>
      </c>
      <c r="Z46" s="6"/>
      <c r="AB46">
        <f t="shared" si="25"/>
        <v>1999</v>
      </c>
      <c r="AC46" s="1" t="b">
        <f t="shared" si="26"/>
        <v>1</v>
      </c>
      <c r="AD46" s="1"/>
      <c r="AE46" s="1" t="b">
        <f t="shared" ref="AE46:AE51" si="38">AND((D46/$I46)&gt;0.15,(D46/$I46)&lt;0.25)</f>
        <v>1</v>
      </c>
      <c r="AF46" s="1" t="b">
        <f t="shared" ref="AF46:AF51" si="39">AND((E46/$I46)&gt;0.05,(E46/$I46)&lt;0.15)</f>
        <v>1</v>
      </c>
      <c r="AG46" s="1"/>
      <c r="AH46" s="1" t="b">
        <f t="shared" ref="AH46:AH56" si="40">AND((G46/$I46)&gt;0.15,(G46/$I46)&lt;0.25)</f>
        <v>1</v>
      </c>
      <c r="AI46" s="1" t="b">
        <f t="shared" si="28"/>
        <v>1</v>
      </c>
      <c r="AJ46" s="1" t="b">
        <f t="shared" si="29"/>
        <v>1</v>
      </c>
      <c r="AL46">
        <f t="shared" si="30"/>
        <v>1999</v>
      </c>
      <c r="AM46" s="2">
        <f>B46</f>
        <v>53000.374350215228</v>
      </c>
      <c r="AN46" s="2"/>
      <c r="AO46" s="40">
        <f>AO$39*$AT46</f>
        <v>48141.080095963473</v>
      </c>
      <c r="AP46" s="40">
        <f>AP$39*$AT46</f>
        <v>24070.540047981736</v>
      </c>
      <c r="AQ46" s="63"/>
      <c r="AR46" s="2">
        <f t="shared" ref="AR46:AR47" si="41">G46</f>
        <v>56874.168953544329</v>
      </c>
      <c r="AS46" s="2">
        <f t="shared" ref="AS46:AS47" si="42">H46</f>
        <v>65165.901757438151</v>
      </c>
      <c r="AT46" s="2">
        <f t="shared" si="31"/>
        <v>240705.40047981736</v>
      </c>
      <c r="AU46" s="2">
        <f t="shared" si="32"/>
        <v>0</v>
      </c>
    </row>
    <row r="47" spans="1:47" x14ac:dyDescent="0.25">
      <c r="A47">
        <f t="shared" si="4"/>
        <v>2000</v>
      </c>
      <c r="B47" s="2">
        <f t="shared" si="13"/>
        <v>48198.540434085728</v>
      </c>
      <c r="C47" s="2"/>
      <c r="D47" s="2">
        <f t="shared" ref="D47" si="43">AO46*(1+(D11/100))</f>
        <v>56853.652771730936</v>
      </c>
      <c r="E47" s="2">
        <f t="shared" ref="E47" si="44">AP46*(1+(E11/100))</f>
        <v>23429.060155703024</v>
      </c>
      <c r="F47" s="2"/>
      <c r="G47" s="2">
        <f>AR46*(1+(G11/100))</f>
        <v>47993.836213137918</v>
      </c>
      <c r="H47" s="2">
        <f t="shared" si="16"/>
        <v>72588.297967610357</v>
      </c>
      <c r="I47" s="2">
        <f t="shared" si="33"/>
        <v>249063.38754226797</v>
      </c>
      <c r="J47" s="2">
        <f t="shared" si="18"/>
        <v>8357.9870624506148</v>
      </c>
      <c r="K47" s="6">
        <f t="shared" si="19"/>
        <v>3.4722889664253354E-2</v>
      </c>
      <c r="L47" s="7">
        <f t="shared" si="20"/>
        <v>1.0347228896642533</v>
      </c>
      <c r="O47">
        <f t="shared" si="21"/>
        <v>2000</v>
      </c>
      <c r="P47" s="6">
        <f t="shared" si="5"/>
        <v>0.19351917160408036</v>
      </c>
      <c r="Q47" s="6">
        <f t="shared" si="6"/>
        <v>0</v>
      </c>
      <c r="R47" s="7"/>
      <c r="S47" s="7"/>
      <c r="T47" s="6">
        <f t="shared" si="7"/>
        <v>0</v>
      </c>
      <c r="U47" s="7"/>
      <c r="V47" s="6">
        <f t="shared" si="8"/>
        <v>0.29144507622699689</v>
      </c>
      <c r="W47" s="6">
        <f t="shared" si="22"/>
        <v>0.48496424783107728</v>
      </c>
      <c r="X47" s="7">
        <f t="shared" si="23"/>
        <v>0.19351917160408036</v>
      </c>
      <c r="Y47" s="7">
        <f t="shared" si="24"/>
        <v>0</v>
      </c>
      <c r="Z47" s="6"/>
      <c r="AB47">
        <f t="shared" si="25"/>
        <v>2000</v>
      </c>
      <c r="AC47" s="1" t="b">
        <f t="shared" si="26"/>
        <v>1</v>
      </c>
      <c r="AD47" s="1"/>
      <c r="AE47" s="1" t="b">
        <f t="shared" si="38"/>
        <v>1</v>
      </c>
      <c r="AF47" s="1" t="b">
        <f t="shared" si="39"/>
        <v>1</v>
      </c>
      <c r="AG47" s="1"/>
      <c r="AH47" s="1" t="b">
        <f t="shared" si="40"/>
        <v>1</v>
      </c>
      <c r="AI47" s="1" t="b">
        <f t="shared" si="28"/>
        <v>1</v>
      </c>
      <c r="AJ47" s="1" t="b">
        <f t="shared" si="29"/>
        <v>1</v>
      </c>
      <c r="AL47">
        <f t="shared" si="30"/>
        <v>2000</v>
      </c>
      <c r="AM47" s="2">
        <f>B47</f>
        <v>48198.540434085728</v>
      </c>
      <c r="AN47" s="2"/>
      <c r="AO47" s="26">
        <f>D47</f>
        <v>56853.652771730936</v>
      </c>
      <c r="AP47" s="26">
        <f>E47</f>
        <v>23429.060155703024</v>
      </c>
      <c r="AQ47" s="63"/>
      <c r="AR47" s="2">
        <f t="shared" si="41"/>
        <v>47993.836213137918</v>
      </c>
      <c r="AS47" s="2">
        <f t="shared" si="42"/>
        <v>72588.297967610357</v>
      </c>
      <c r="AT47" s="2">
        <f t="shared" si="31"/>
        <v>249063.38754226797</v>
      </c>
      <c r="AU47" s="2">
        <f t="shared" si="32"/>
        <v>0</v>
      </c>
    </row>
    <row r="48" spans="1:47" x14ac:dyDescent="0.25">
      <c r="A48">
        <f t="shared" si="4"/>
        <v>2001</v>
      </c>
      <c r="B48" s="2">
        <f t="shared" si="13"/>
        <v>42405.075873908623</v>
      </c>
      <c r="C48" s="2"/>
      <c r="D48" s="2">
        <f t="shared" ref="D48" si="45">AO47*(1+(D12/100))</f>
        <v>56569.953044399997</v>
      </c>
      <c r="E48" s="2">
        <f t="shared" ref="E48" si="46">AP47*(1+(E12/100))</f>
        <v>24155.361020529817</v>
      </c>
      <c r="F48" s="2"/>
      <c r="G48" s="2">
        <f>AR47*(1+(G12/100))</f>
        <v>38321.638401104232</v>
      </c>
      <c r="H48" s="2">
        <f t="shared" si="16"/>
        <v>78707.49148627992</v>
      </c>
      <c r="I48" s="2">
        <f t="shared" si="33"/>
        <v>240159.51982622256</v>
      </c>
      <c r="J48" s="2">
        <f t="shared" si="18"/>
        <v>-8903.8677160454099</v>
      </c>
      <c r="K48" s="6">
        <f t="shared" si="19"/>
        <v>-3.5749404213553285E-2</v>
      </c>
      <c r="L48" s="7">
        <f t="shared" si="20"/>
        <v>0.96425059578644667</v>
      </c>
      <c r="O48">
        <f t="shared" si="21"/>
        <v>2001</v>
      </c>
      <c r="P48" s="6">
        <f t="shared" si="5"/>
        <v>0.1765704557728654</v>
      </c>
      <c r="Q48" s="6">
        <f t="shared" si="6"/>
        <v>0</v>
      </c>
      <c r="R48" s="7"/>
      <c r="S48" s="7"/>
      <c r="T48" s="6">
        <f t="shared" si="7"/>
        <v>0</v>
      </c>
      <c r="U48" s="6"/>
      <c r="V48" s="38">
        <f t="shared" si="8"/>
        <v>0.32773005019010704</v>
      </c>
      <c r="W48" s="6">
        <f t="shared" si="22"/>
        <v>0.50430050596297238</v>
      </c>
      <c r="X48" s="7">
        <f t="shared" si="23"/>
        <v>0.1765704557728654</v>
      </c>
      <c r="Y48" s="7">
        <f t="shared" si="24"/>
        <v>0</v>
      </c>
      <c r="Z48" s="6"/>
      <c r="AB48">
        <f t="shared" si="25"/>
        <v>2001</v>
      </c>
      <c r="AC48" s="35" t="b">
        <f t="shared" si="26"/>
        <v>1</v>
      </c>
      <c r="AD48" s="1"/>
      <c r="AE48" s="1" t="b">
        <f t="shared" si="38"/>
        <v>1</v>
      </c>
      <c r="AF48" s="1" t="b">
        <f t="shared" si="39"/>
        <v>1</v>
      </c>
      <c r="AG48" s="1"/>
      <c r="AH48" s="1" t="b">
        <f t="shared" si="40"/>
        <v>1</v>
      </c>
      <c r="AI48" s="1" t="b">
        <f t="shared" si="28"/>
        <v>1</v>
      </c>
      <c r="AJ48" s="1" t="b">
        <f t="shared" si="29"/>
        <v>1</v>
      </c>
      <c r="AL48">
        <f t="shared" si="30"/>
        <v>2001</v>
      </c>
      <c r="AM48" s="2">
        <f>B48</f>
        <v>42405.075873908623</v>
      </c>
      <c r="AN48" s="2"/>
      <c r="AO48" s="26">
        <f>D48</f>
        <v>56569.953044399997</v>
      </c>
      <c r="AP48" s="26">
        <f>E48</f>
        <v>24155.361020529817</v>
      </c>
      <c r="AQ48" s="2"/>
      <c r="AR48" s="2">
        <f t="shared" ref="AR48" si="47">G48</f>
        <v>38321.638401104232</v>
      </c>
      <c r="AS48" s="2">
        <f t="shared" ref="AS48" si="48">H48</f>
        <v>78707.49148627992</v>
      </c>
      <c r="AT48" s="2">
        <f t="shared" si="31"/>
        <v>240159.51982622256</v>
      </c>
      <c r="AU48" s="2">
        <f t="shared" si="32"/>
        <v>0</v>
      </c>
    </row>
    <row r="49" spans="1:48" x14ac:dyDescent="0.25">
      <c r="A49">
        <f t="shared" si="4"/>
        <v>2002</v>
      </c>
      <c r="B49" s="2">
        <f t="shared" si="13"/>
        <v>33012.351567837861</v>
      </c>
      <c r="C49" s="2"/>
      <c r="D49" s="2">
        <f t="shared" ref="D49" si="49">AO48*(1+(D13/100))</f>
        <v>48306.214303674045</v>
      </c>
      <c r="E49" s="2">
        <f t="shared" ref="E49" si="50">AP48*(1+(E13/100))</f>
        <v>19318.974636999337</v>
      </c>
      <c r="F49" s="2"/>
      <c r="G49" s="2">
        <f t="shared" ref="G49:G64" si="51">AR48*(1+(G13/100))</f>
        <v>32541.585681065681</v>
      </c>
      <c r="H49" s="2">
        <f t="shared" si="16"/>
        <v>85208.730283046636</v>
      </c>
      <c r="I49" s="2">
        <f t="shared" si="17"/>
        <v>218387.85647262356</v>
      </c>
      <c r="J49" s="2">
        <f t="shared" si="18"/>
        <v>-21771.663353598997</v>
      </c>
      <c r="K49" s="6">
        <f t="shared" si="19"/>
        <v>-9.0655008676536294E-2</v>
      </c>
      <c r="L49" s="7">
        <f t="shared" si="20"/>
        <v>0.90934499132346369</v>
      </c>
      <c r="O49">
        <f t="shared" si="21"/>
        <v>2002</v>
      </c>
      <c r="P49" s="6">
        <f t="shared" si="5"/>
        <v>0.15116386094469583</v>
      </c>
      <c r="Q49" s="6">
        <f t="shared" si="6"/>
        <v>0</v>
      </c>
      <c r="R49" s="7"/>
      <c r="S49" s="7"/>
      <c r="T49" s="6"/>
      <c r="U49" s="6">
        <f t="shared" si="5"/>
        <v>0.14900821962664848</v>
      </c>
      <c r="V49" s="6">
        <f t="shared" si="8"/>
        <v>0.3901715583427055</v>
      </c>
      <c r="W49" s="6">
        <f t="shared" si="22"/>
        <v>0.69034363891404982</v>
      </c>
      <c r="X49" s="7">
        <f t="shared" si="23"/>
        <v>0.30017208057134431</v>
      </c>
      <c r="Y49" s="7">
        <f t="shared" si="24"/>
        <v>0</v>
      </c>
      <c r="Z49" s="6"/>
      <c r="AA49" s="39"/>
      <c r="AB49">
        <f t="shared" si="25"/>
        <v>2002</v>
      </c>
      <c r="AC49" s="1" t="b">
        <f t="shared" ref="AC49" si="52">AND((B49/$I49)&gt;0.15,(B49/$I49)&lt;0.25)</f>
        <v>1</v>
      </c>
      <c r="AD49" s="1"/>
      <c r="AE49" s="1" t="b">
        <f t="shared" si="38"/>
        <v>1</v>
      </c>
      <c r="AF49" s="1" t="b">
        <f t="shared" si="39"/>
        <v>1</v>
      </c>
      <c r="AG49" s="1"/>
      <c r="AH49" s="39" t="b">
        <f t="shared" si="40"/>
        <v>0</v>
      </c>
      <c r="AI49" s="39" t="b">
        <f t="shared" ref="AI49" si="53">AND((H49/$I49)&gt;0.25,(H49/$I49)&lt;0.35)</f>
        <v>0</v>
      </c>
      <c r="AJ49" s="1" t="b">
        <f t="shared" ref="AJ49" si="54">AND((I49/$I49)&gt;0.999,(I49/$I49)&lt;1.01)</f>
        <v>1</v>
      </c>
      <c r="AL49">
        <f t="shared" si="30"/>
        <v>2002</v>
      </c>
      <c r="AM49" s="40">
        <f>AM$39*$AT49</f>
        <v>43677.571294524714</v>
      </c>
      <c r="AN49" s="2"/>
      <c r="AO49" s="40">
        <f t="shared" ref="AO49:AP50" si="55">AO$39*$AT49</f>
        <v>43677.571294524714</v>
      </c>
      <c r="AP49" s="40">
        <f t="shared" si="55"/>
        <v>21838.785647262357</v>
      </c>
      <c r="AQ49" s="2"/>
      <c r="AR49" s="40">
        <f t="shared" ref="AR49:AS50" si="56">AR$39*$AT49</f>
        <v>43677.571294524714</v>
      </c>
      <c r="AS49" s="40">
        <f t="shared" si="56"/>
        <v>65516.356941787068</v>
      </c>
      <c r="AT49" s="2">
        <f t="shared" si="31"/>
        <v>218387.85647262356</v>
      </c>
      <c r="AU49" s="2">
        <f t="shared" si="32"/>
        <v>0</v>
      </c>
    </row>
    <row r="50" spans="1:48" x14ac:dyDescent="0.25">
      <c r="A50">
        <f t="shared" si="4"/>
        <v>2003</v>
      </c>
      <c r="B50" s="2">
        <f t="shared" si="13"/>
        <v>56125.679113464255</v>
      </c>
      <c r="C50" s="2"/>
      <c r="D50" s="2">
        <f t="shared" ref="D50:D51" si="57">AO49*(1+(D14/100))</f>
        <v>58589.967685901342</v>
      </c>
      <c r="E50" s="2">
        <f t="shared" ref="E50:E51" si="58">AP49*(1+(E14/100))</f>
        <v>31803.386762395225</v>
      </c>
      <c r="F50" s="2"/>
      <c r="G50" s="2">
        <f t="shared" si="51"/>
        <v>61297.103554735986</v>
      </c>
      <c r="H50" s="2">
        <f t="shared" si="16"/>
        <v>68117.356312376025</v>
      </c>
      <c r="I50" s="2">
        <f t="shared" si="17"/>
        <v>275933.49342887284</v>
      </c>
      <c r="J50" s="2">
        <f t="shared" si="18"/>
        <v>57545.636956249276</v>
      </c>
      <c r="K50" s="6">
        <f t="shared" si="19"/>
        <v>0.26350200000000013</v>
      </c>
      <c r="L50" s="7">
        <f t="shared" si="20"/>
        <v>1.2635020000000001</v>
      </c>
      <c r="O50">
        <f t="shared" si="21"/>
        <v>2003</v>
      </c>
      <c r="P50" s="38">
        <f t="shared" si="5"/>
        <v>0.20340292298706292</v>
      </c>
      <c r="Q50" s="6">
        <f t="shared" si="6"/>
        <v>0</v>
      </c>
      <c r="R50" s="7"/>
      <c r="S50" s="7"/>
      <c r="T50" s="7"/>
      <c r="U50" s="6">
        <f t="shared" si="5"/>
        <v>0.22214448414011218</v>
      </c>
      <c r="V50" s="6">
        <f t="shared" si="8"/>
        <v>0.24686150081282027</v>
      </c>
      <c r="W50" s="6">
        <f t="shared" si="22"/>
        <v>0.6724089079399953</v>
      </c>
      <c r="X50" s="7">
        <f t="shared" si="23"/>
        <v>0.42554740712717509</v>
      </c>
      <c r="Y50" s="7">
        <f t="shared" si="24"/>
        <v>0</v>
      </c>
      <c r="Z50" s="6"/>
      <c r="AB50">
        <f t="shared" si="25"/>
        <v>2003</v>
      </c>
      <c r="AC50" s="1" t="b">
        <f t="shared" si="26"/>
        <v>1</v>
      </c>
      <c r="AD50" s="1"/>
      <c r="AE50" s="1" t="b">
        <f t="shared" si="38"/>
        <v>1</v>
      </c>
      <c r="AF50" s="1" t="b">
        <f t="shared" si="39"/>
        <v>1</v>
      </c>
      <c r="AH50" s="1" t="b">
        <f t="shared" si="40"/>
        <v>1</v>
      </c>
      <c r="AI50" s="39" t="b">
        <f t="shared" si="28"/>
        <v>0</v>
      </c>
      <c r="AJ50" s="1" t="b">
        <f t="shared" si="29"/>
        <v>1</v>
      </c>
      <c r="AL50">
        <f t="shared" si="30"/>
        <v>2003</v>
      </c>
      <c r="AM50" s="40">
        <f>AM$39*$AT50</f>
        <v>55186.698685774572</v>
      </c>
      <c r="AN50" s="2"/>
      <c r="AO50" s="40">
        <f t="shared" si="55"/>
        <v>55186.698685774572</v>
      </c>
      <c r="AP50" s="40">
        <f t="shared" si="55"/>
        <v>27593.349342887286</v>
      </c>
      <c r="AQ50" s="2"/>
      <c r="AR50" s="40">
        <f t="shared" si="56"/>
        <v>55186.698685774572</v>
      </c>
      <c r="AS50" s="40">
        <f t="shared" si="56"/>
        <v>82780.048028661855</v>
      </c>
      <c r="AT50" s="2">
        <f t="shared" si="31"/>
        <v>275933.49342887284</v>
      </c>
      <c r="AU50" s="2">
        <f t="shared" si="32"/>
        <v>0</v>
      </c>
    </row>
    <row r="51" spans="1:48" x14ac:dyDescent="0.25">
      <c r="A51">
        <f t="shared" si="4"/>
        <v>2004</v>
      </c>
      <c r="B51" s="2">
        <f t="shared" ref="B51:B64" si="59">AM50*(1+(B15/100))</f>
        <v>61113.750124626757</v>
      </c>
      <c r="C51" s="2"/>
      <c r="D51" s="2">
        <f t="shared" si="57"/>
        <v>66418.847469290267</v>
      </c>
      <c r="E51" s="2">
        <f t="shared" si="58"/>
        <v>33083.598061641569</v>
      </c>
      <c r="F51" s="2"/>
      <c r="G51" s="2">
        <f t="shared" si="51"/>
        <v>66685.951090929419</v>
      </c>
      <c r="H51" s="2">
        <f t="shared" si="16"/>
        <v>86289.922065077117</v>
      </c>
      <c r="I51" s="2">
        <f t="shared" si="17"/>
        <v>313592.06881156511</v>
      </c>
      <c r="J51" s="2">
        <f t="shared" si="18"/>
        <v>37658.575382692274</v>
      </c>
      <c r="K51" s="6">
        <f t="shared" si="19"/>
        <v>0.13647699999999999</v>
      </c>
      <c r="L51" s="7">
        <f t="shared" si="20"/>
        <v>1.136477</v>
      </c>
      <c r="O51">
        <f t="shared" si="21"/>
        <v>2004</v>
      </c>
      <c r="P51" s="6">
        <f t="shared" si="5"/>
        <v>0.19488295847606243</v>
      </c>
      <c r="Q51" s="7"/>
      <c r="R51" s="6">
        <f t="shared" si="5"/>
        <v>0.2118001508169545</v>
      </c>
      <c r="S51" s="6">
        <f t="shared" si="5"/>
        <v>0.1054988354361769</v>
      </c>
      <c r="T51" s="7"/>
      <c r="U51" s="6">
        <f t="shared" si="5"/>
        <v>0.21265190584587282</v>
      </c>
      <c r="V51" s="6">
        <f t="shared" si="8"/>
        <v>0.27516614942493339</v>
      </c>
      <c r="W51" s="6">
        <f t="shared" si="22"/>
        <v>1</v>
      </c>
      <c r="X51" s="7">
        <f t="shared" si="23"/>
        <v>0.72483385057506666</v>
      </c>
      <c r="Y51" s="7">
        <f t="shared" si="24"/>
        <v>0</v>
      </c>
      <c r="Z51" s="6"/>
      <c r="AB51">
        <f t="shared" si="25"/>
        <v>2004</v>
      </c>
      <c r="AC51" s="1" t="b">
        <f t="shared" si="26"/>
        <v>1</v>
      </c>
      <c r="AE51" s="1" t="b">
        <f t="shared" si="38"/>
        <v>1</v>
      </c>
      <c r="AF51" s="1" t="b">
        <f t="shared" si="39"/>
        <v>1</v>
      </c>
      <c r="AH51" s="35" t="b">
        <f t="shared" si="40"/>
        <v>1</v>
      </c>
      <c r="AI51" s="1" t="b">
        <f t="shared" si="28"/>
        <v>1</v>
      </c>
      <c r="AJ51" s="1" t="b">
        <f t="shared" si="29"/>
        <v>1</v>
      </c>
      <c r="AL51">
        <f t="shared" si="30"/>
        <v>2004</v>
      </c>
      <c r="AM51" s="2">
        <f>B51</f>
        <v>61113.750124626757</v>
      </c>
      <c r="AN51" s="2"/>
      <c r="AO51" s="26">
        <f>D51</f>
        <v>66418.847469290267</v>
      </c>
      <c r="AP51" s="26">
        <f>E51</f>
        <v>33083.598061641569</v>
      </c>
      <c r="AQ51" s="2"/>
      <c r="AR51" s="63">
        <f t="shared" ref="AR51" si="60">G51</f>
        <v>66685.951090929419</v>
      </c>
      <c r="AS51" s="63">
        <f t="shared" ref="AS51" si="61">H51</f>
        <v>86289.922065077117</v>
      </c>
      <c r="AT51" s="2">
        <f t="shared" si="31"/>
        <v>313592.06881156511</v>
      </c>
      <c r="AU51" s="2">
        <f t="shared" si="32"/>
        <v>0</v>
      </c>
    </row>
    <row r="52" spans="1:48" x14ac:dyDescent="0.25">
      <c r="A52">
        <f t="shared" si="4"/>
        <v>2005</v>
      </c>
      <c r="B52" s="2">
        <f t="shared" si="59"/>
        <v>64028.876005571459</v>
      </c>
      <c r="C52" s="2"/>
      <c r="D52" s="2">
        <f t="shared" ref="D52:D64" si="62">AO51*(1+(D16/100))</f>
        <v>75671.657110237094</v>
      </c>
      <c r="E52" s="2">
        <f t="shared" ref="E52:E64" si="63">AP51*(1+(E16/100))</f>
        <v>35519.543386920239</v>
      </c>
      <c r="F52" s="2"/>
      <c r="G52" s="2">
        <f t="shared" si="51"/>
        <v>77069.620535298032</v>
      </c>
      <c r="H52" s="2">
        <f t="shared" si="16"/>
        <v>88360.880194638972</v>
      </c>
      <c r="I52" s="2">
        <f t="shared" si="17"/>
        <v>340650.57723266579</v>
      </c>
      <c r="J52" s="2">
        <f t="shared" si="18"/>
        <v>27058.508421100676</v>
      </c>
      <c r="K52" s="6">
        <f t="shared" si="19"/>
        <v>8.6285691228243117E-2</v>
      </c>
      <c r="L52" s="7">
        <f t="shared" si="20"/>
        <v>1.086285691228243</v>
      </c>
      <c r="O52">
        <f t="shared" si="21"/>
        <v>2005</v>
      </c>
      <c r="P52" s="6">
        <f t="shared" si="5"/>
        <v>0.18796056805692557</v>
      </c>
      <c r="Q52" s="7"/>
      <c r="R52" s="6">
        <f t="shared" ref="R52:R64" si="64">D52/$I52</f>
        <v>0.22213864343037068</v>
      </c>
      <c r="S52" s="6">
        <f t="shared" ref="S52:S64" si="65">E52/$I52</f>
        <v>0.10426972904455183</v>
      </c>
      <c r="T52" s="7"/>
      <c r="U52" s="6">
        <f t="shared" si="5"/>
        <v>0.2262424480867947</v>
      </c>
      <c r="V52" s="6">
        <f t="shared" si="8"/>
        <v>0.25938861138135727</v>
      </c>
      <c r="W52" s="6">
        <f t="shared" si="22"/>
        <v>1</v>
      </c>
      <c r="X52" s="7">
        <f t="shared" si="23"/>
        <v>0.74061138861864273</v>
      </c>
      <c r="Y52" s="7">
        <f t="shared" si="24"/>
        <v>0</v>
      </c>
      <c r="Z52" s="6"/>
      <c r="AB52">
        <f t="shared" si="25"/>
        <v>2005</v>
      </c>
      <c r="AC52" s="1" t="b">
        <f t="shared" si="26"/>
        <v>1</v>
      </c>
      <c r="AE52" s="1" t="b">
        <f t="shared" ref="AE52:AE64" si="66">AND((D52/$I52)&gt;0.15,(D52/$I52)&lt;0.25)</f>
        <v>1</v>
      </c>
      <c r="AF52" s="1" t="b">
        <f t="shared" ref="AF52:AF64" si="67">AND((E52/$I52)&gt;0.05,(E52/$I52)&lt;0.15)</f>
        <v>1</v>
      </c>
      <c r="AH52" s="1" t="b">
        <f t="shared" si="40"/>
        <v>1</v>
      </c>
      <c r="AI52" s="1" t="b">
        <f t="shared" si="28"/>
        <v>1</v>
      </c>
      <c r="AJ52" s="1" t="b">
        <f t="shared" si="29"/>
        <v>1</v>
      </c>
      <c r="AL52" s="1">
        <f t="shared" si="30"/>
        <v>2005</v>
      </c>
      <c r="AM52" s="2">
        <f>B52</f>
        <v>64028.876005571459</v>
      </c>
      <c r="AN52" s="2"/>
      <c r="AO52" s="26">
        <f>D52</f>
        <v>75671.657110237094</v>
      </c>
      <c r="AP52" s="26">
        <f>E52</f>
        <v>35519.543386920239</v>
      </c>
      <c r="AQ52" s="2"/>
      <c r="AR52" s="63">
        <f t="shared" ref="AR52" si="68">G52</f>
        <v>77069.620535298032</v>
      </c>
      <c r="AS52" s="63">
        <f t="shared" ref="AS52" si="69">H52</f>
        <v>88360.880194638972</v>
      </c>
      <c r="AT52" s="2">
        <f t="shared" si="31"/>
        <v>340650.57723266579</v>
      </c>
      <c r="AU52" s="2">
        <f t="shared" si="32"/>
        <v>0</v>
      </c>
    </row>
    <row r="53" spans="1:48" x14ac:dyDescent="0.25">
      <c r="A53">
        <f t="shared" si="4"/>
        <v>2006</v>
      </c>
      <c r="B53" s="2">
        <f t="shared" si="59"/>
        <v>74042.992212842844</v>
      </c>
      <c r="C53" s="2"/>
      <c r="D53" s="2">
        <f t="shared" si="62"/>
        <v>85960.732327516031</v>
      </c>
      <c r="E53" s="2">
        <f t="shared" si="63"/>
        <v>41080.483099576471</v>
      </c>
      <c r="F53" s="2"/>
      <c r="G53" s="2">
        <f t="shared" si="51"/>
        <v>97598.655357285374</v>
      </c>
      <c r="H53" s="2">
        <f t="shared" si="16"/>
        <v>92133.889778950048</v>
      </c>
      <c r="I53" s="2">
        <f t="shared" si="17"/>
        <v>390816.75277617073</v>
      </c>
      <c r="J53" s="2">
        <f t="shared" si="18"/>
        <v>50166.175543504942</v>
      </c>
      <c r="K53" s="6">
        <f t="shared" si="19"/>
        <v>0.14726578757340908</v>
      </c>
      <c r="L53" s="7">
        <f t="shared" si="20"/>
        <v>1.1472657875734091</v>
      </c>
      <c r="O53">
        <f t="shared" si="21"/>
        <v>2006</v>
      </c>
      <c r="P53" s="6">
        <f t="shared" si="5"/>
        <v>0.18945705803775734</v>
      </c>
      <c r="Q53" s="7"/>
      <c r="R53" s="6">
        <f t="shared" si="64"/>
        <v>0.21995150340125674</v>
      </c>
      <c r="S53" s="6">
        <f t="shared" si="65"/>
        <v>0.10511443741283055</v>
      </c>
      <c r="T53" s="7"/>
      <c r="U53" s="6">
        <f t="shared" si="5"/>
        <v>0.24972996849288662</v>
      </c>
      <c r="V53" s="6">
        <f t="shared" si="8"/>
        <v>0.23574703265526883</v>
      </c>
      <c r="W53" s="6">
        <f t="shared" si="22"/>
        <v>1</v>
      </c>
      <c r="X53" s="7">
        <f t="shared" si="23"/>
        <v>0.76425296734473125</v>
      </c>
      <c r="Y53" s="7">
        <f t="shared" si="24"/>
        <v>0</v>
      </c>
      <c r="Z53" s="6"/>
      <c r="AB53">
        <f t="shared" si="25"/>
        <v>2006</v>
      </c>
      <c r="AC53" s="1" t="b">
        <f t="shared" si="26"/>
        <v>1</v>
      </c>
      <c r="AE53" s="1" t="b">
        <f t="shared" si="66"/>
        <v>1</v>
      </c>
      <c r="AF53" s="1" t="b">
        <f t="shared" si="67"/>
        <v>1</v>
      </c>
      <c r="AH53" s="1" t="b">
        <f t="shared" si="40"/>
        <v>1</v>
      </c>
      <c r="AI53" s="39" t="b">
        <f t="shared" si="28"/>
        <v>0</v>
      </c>
      <c r="AJ53" s="1" t="b">
        <f t="shared" si="29"/>
        <v>1</v>
      </c>
      <c r="AL53">
        <f t="shared" si="30"/>
        <v>2006</v>
      </c>
      <c r="AM53" s="40">
        <f>AM$39*$AT53</f>
        <v>78163.350555234152</v>
      </c>
      <c r="AN53" s="2"/>
      <c r="AO53" s="40">
        <f>AO$39*$AT53</f>
        <v>78163.350555234152</v>
      </c>
      <c r="AP53" s="40">
        <f>AP$39*$AT53</f>
        <v>39081.675277617076</v>
      </c>
      <c r="AQ53" s="2"/>
      <c r="AR53" s="40">
        <f>AR$39*$AT53</f>
        <v>78163.350555234152</v>
      </c>
      <c r="AS53" s="40">
        <f>AS$39*$AT53</f>
        <v>117245.02583285121</v>
      </c>
      <c r="AT53" s="2">
        <f t="shared" si="31"/>
        <v>390816.75277617073</v>
      </c>
      <c r="AU53" s="2">
        <f t="shared" si="32"/>
        <v>0</v>
      </c>
    </row>
    <row r="54" spans="1:48" x14ac:dyDescent="0.25">
      <c r="A54">
        <f t="shared" si="4"/>
        <v>2007</v>
      </c>
      <c r="B54" s="2">
        <f t="shared" si="59"/>
        <v>82376.355150161282</v>
      </c>
      <c r="C54" s="2"/>
      <c r="D54" s="2">
        <f t="shared" si="62"/>
        <v>82869.565892164814</v>
      </c>
      <c r="E54" s="2">
        <f t="shared" si="63"/>
        <v>39533.45944382633</v>
      </c>
      <c r="F54" s="2"/>
      <c r="G54" s="2">
        <f t="shared" si="51"/>
        <v>90295.865828417591</v>
      </c>
      <c r="H54" s="2">
        <f t="shared" si="16"/>
        <v>125358.38162048451</v>
      </c>
      <c r="I54" s="2">
        <f t="shared" si="17"/>
        <v>420433.62793505454</v>
      </c>
      <c r="J54" s="2">
        <f t="shared" si="18"/>
        <v>29616.875158883806</v>
      </c>
      <c r="K54" s="6">
        <f t="shared" si="19"/>
        <v>7.5782000000000085E-2</v>
      </c>
      <c r="L54" s="7">
        <f t="shared" si="20"/>
        <v>1.075782</v>
      </c>
      <c r="O54">
        <f t="shared" si="21"/>
        <v>2007</v>
      </c>
      <c r="P54" s="38">
        <f t="shared" si="5"/>
        <v>0.19593188954639509</v>
      </c>
      <c r="Q54" s="7"/>
      <c r="R54" s="6">
        <f t="shared" si="64"/>
        <v>0.19710498967262888</v>
      </c>
      <c r="S54" s="6">
        <f t="shared" si="65"/>
        <v>9.4030203145246904E-2</v>
      </c>
      <c r="T54" s="7"/>
      <c r="U54" s="38">
        <f t="shared" si="5"/>
        <v>0.21476841962405022</v>
      </c>
      <c r="V54" s="38">
        <f t="shared" si="8"/>
        <v>0.29816449801167888</v>
      </c>
      <c r="W54" s="6">
        <f t="shared" si="22"/>
        <v>1</v>
      </c>
      <c r="X54" s="7">
        <f t="shared" si="23"/>
        <v>0.70183550198832112</v>
      </c>
      <c r="Y54" s="7">
        <f t="shared" si="24"/>
        <v>0</v>
      </c>
      <c r="Z54" s="6"/>
      <c r="AB54">
        <f t="shared" si="25"/>
        <v>2007</v>
      </c>
      <c r="AC54" s="1" t="b">
        <f t="shared" si="26"/>
        <v>1</v>
      </c>
      <c r="AE54" s="1" t="b">
        <f t="shared" si="66"/>
        <v>1</v>
      </c>
      <c r="AF54" s="1" t="b">
        <f t="shared" si="67"/>
        <v>1</v>
      </c>
      <c r="AH54" s="1" t="b">
        <f t="shared" si="40"/>
        <v>1</v>
      </c>
      <c r="AI54" s="1" t="b">
        <f t="shared" si="28"/>
        <v>1</v>
      </c>
      <c r="AJ54" s="1" t="b">
        <f t="shared" si="29"/>
        <v>1</v>
      </c>
      <c r="AL54">
        <f t="shared" si="30"/>
        <v>2007</v>
      </c>
      <c r="AM54" s="63">
        <f>B54</f>
        <v>82376.355150161282</v>
      </c>
      <c r="AN54" s="2"/>
      <c r="AO54" s="26">
        <f>D54</f>
        <v>82869.565892164814</v>
      </c>
      <c r="AP54" s="26">
        <f>E54</f>
        <v>39533.45944382633</v>
      </c>
      <c r="AQ54" s="2"/>
      <c r="AR54" s="2">
        <f t="shared" ref="AR54" si="70">G54</f>
        <v>90295.865828417591</v>
      </c>
      <c r="AS54" s="2">
        <f t="shared" ref="AS54" si="71">H54</f>
        <v>125358.38162048451</v>
      </c>
      <c r="AT54" s="2">
        <f t="shared" si="31"/>
        <v>420433.62793505454</v>
      </c>
      <c r="AU54" s="2">
        <f t="shared" si="32"/>
        <v>0</v>
      </c>
    </row>
    <row r="55" spans="1:48" x14ac:dyDescent="0.25">
      <c r="A55">
        <f t="shared" si="4"/>
        <v>2008</v>
      </c>
      <c r="B55" s="2">
        <f t="shared" si="59"/>
        <v>51880.628473571567</v>
      </c>
      <c r="C55" s="2"/>
      <c r="D55" s="2">
        <f t="shared" si="62"/>
        <v>48210.198653425803</v>
      </c>
      <c r="E55" s="2">
        <f t="shared" si="63"/>
        <v>25273.740622438174</v>
      </c>
      <c r="F55" s="2"/>
      <c r="G55" s="2">
        <f t="shared" si="51"/>
        <v>50474.486039427145</v>
      </c>
      <c r="H55" s="2">
        <f t="shared" si="16"/>
        <v>131688.97989231898</v>
      </c>
      <c r="I55" s="2">
        <f t="shared" si="17"/>
        <v>307528.03368118167</v>
      </c>
      <c r="J55" s="2">
        <f t="shared" si="18"/>
        <v>-112905.59425387287</v>
      </c>
      <c r="K55" s="6">
        <f t="shared" si="19"/>
        <v>-0.268545584254059</v>
      </c>
      <c r="L55" s="7">
        <f t="shared" si="20"/>
        <v>0.73145441574594106</v>
      </c>
      <c r="O55">
        <f t="shared" si="21"/>
        <v>2008</v>
      </c>
      <c r="P55" s="6">
        <f t="shared" si="5"/>
        <v>0.16870211099960042</v>
      </c>
      <c r="Q55" s="7"/>
      <c r="R55" s="6">
        <f t="shared" si="64"/>
        <v>0.1567668419569383</v>
      </c>
      <c r="S55" s="6">
        <f t="shared" si="65"/>
        <v>8.2183534033972952E-2</v>
      </c>
      <c r="T55" s="7"/>
      <c r="U55" s="6">
        <f t="shared" si="5"/>
        <v>0.16412970692536832</v>
      </c>
      <c r="V55" s="38">
        <f t="shared" si="8"/>
        <v>0.42821780608412002</v>
      </c>
      <c r="W55" s="6">
        <f t="shared" si="22"/>
        <v>1</v>
      </c>
      <c r="X55" s="7">
        <f t="shared" si="23"/>
        <v>0.57178219391588003</v>
      </c>
      <c r="Y55" s="7">
        <f t="shared" si="24"/>
        <v>0</v>
      </c>
      <c r="Z55" s="6"/>
      <c r="AB55">
        <f t="shared" si="25"/>
        <v>2008</v>
      </c>
      <c r="AC55" s="1" t="b">
        <f t="shared" si="26"/>
        <v>1</v>
      </c>
      <c r="AE55" s="1" t="b">
        <f t="shared" si="66"/>
        <v>1</v>
      </c>
      <c r="AF55" s="1" t="b">
        <f t="shared" si="67"/>
        <v>1</v>
      </c>
      <c r="AH55" s="1" t="b">
        <f t="shared" si="40"/>
        <v>1</v>
      </c>
      <c r="AI55" s="39" t="b">
        <f t="shared" si="28"/>
        <v>0</v>
      </c>
      <c r="AJ55" s="1" t="b">
        <f t="shared" si="29"/>
        <v>1</v>
      </c>
      <c r="AL55">
        <f t="shared" si="30"/>
        <v>2008</v>
      </c>
      <c r="AM55" s="40">
        <f>AM$39*$AT55</f>
        <v>61505.606736236339</v>
      </c>
      <c r="AN55" s="2"/>
      <c r="AO55" s="40">
        <f>AO$39*$AT55</f>
        <v>61505.606736236339</v>
      </c>
      <c r="AP55" s="40">
        <f>AP$39*$AT55</f>
        <v>30752.80336811817</v>
      </c>
      <c r="AQ55" s="2"/>
      <c r="AR55" s="40">
        <f>AR$39*$AT55</f>
        <v>61505.606736236339</v>
      </c>
      <c r="AS55" s="40">
        <f>AS$39*$AT55</f>
        <v>92258.410104354494</v>
      </c>
      <c r="AT55" s="2">
        <f t="shared" si="31"/>
        <v>307528.03368118167</v>
      </c>
      <c r="AU55" s="2">
        <f t="shared" si="32"/>
        <v>0</v>
      </c>
    </row>
    <row r="56" spans="1:48" x14ac:dyDescent="0.25">
      <c r="A56">
        <f t="shared" si="4"/>
        <v>2009</v>
      </c>
      <c r="B56" s="2">
        <f t="shared" si="59"/>
        <v>77798.441960665339</v>
      </c>
      <c r="C56" s="2"/>
      <c r="D56" s="2">
        <f t="shared" si="62"/>
        <v>86241.931653415872</v>
      </c>
      <c r="E56" s="2">
        <f t="shared" si="63"/>
        <v>41860.100888615088</v>
      </c>
      <c r="F56" s="2"/>
      <c r="G56" s="2">
        <f t="shared" si="51"/>
        <v>84094.770922253854</v>
      </c>
      <c r="H56" s="2">
        <f t="shared" si="16"/>
        <v>97729.333823542707</v>
      </c>
      <c r="I56" s="2">
        <f t="shared" si="17"/>
        <v>387724.57924849284</v>
      </c>
      <c r="J56" s="2">
        <f>I56-I55</f>
        <v>80196.545567311172</v>
      </c>
      <c r="K56" s="6">
        <f>(J56/I55)</f>
        <v>0.26077799999999995</v>
      </c>
      <c r="L56" s="7">
        <f t="shared" si="20"/>
        <v>1.260778</v>
      </c>
      <c r="O56">
        <f t="shared" si="21"/>
        <v>2009</v>
      </c>
      <c r="P56" s="6">
        <f t="shared" si="5"/>
        <v>0.20065388196811812</v>
      </c>
      <c r="Q56" s="7"/>
      <c r="R56" s="6">
        <f t="shared" si="64"/>
        <v>0.22243091170689847</v>
      </c>
      <c r="S56" s="6">
        <f t="shared" si="65"/>
        <v>0.10796349555591866</v>
      </c>
      <c r="T56" s="7"/>
      <c r="U56" s="6">
        <f t="shared" si="5"/>
        <v>0.21689306126851834</v>
      </c>
      <c r="V56" s="6">
        <f t="shared" si="8"/>
        <v>0.25205864950054646</v>
      </c>
      <c r="W56" s="6">
        <f t="shared" si="22"/>
        <v>1</v>
      </c>
      <c r="X56" s="7">
        <f t="shared" si="23"/>
        <v>0.74794135049945365</v>
      </c>
      <c r="Y56" s="7">
        <f t="shared" si="24"/>
        <v>0</v>
      </c>
      <c r="Z56" s="6"/>
      <c r="AB56">
        <f t="shared" si="25"/>
        <v>2009</v>
      </c>
      <c r="AC56" s="1" t="b">
        <f t="shared" si="26"/>
        <v>1</v>
      </c>
      <c r="AE56" s="1" t="b">
        <f t="shared" si="66"/>
        <v>1</v>
      </c>
      <c r="AF56" s="1" t="b">
        <f t="shared" si="67"/>
        <v>1</v>
      </c>
      <c r="AH56" s="1" t="b">
        <f t="shared" si="40"/>
        <v>1</v>
      </c>
      <c r="AI56" s="1" t="b">
        <f t="shared" si="28"/>
        <v>1</v>
      </c>
      <c r="AJ56" s="1" t="b">
        <f t="shared" si="29"/>
        <v>1</v>
      </c>
      <c r="AL56">
        <f t="shared" si="30"/>
        <v>2009</v>
      </c>
      <c r="AM56" s="63">
        <f>B56</f>
        <v>77798.441960665339</v>
      </c>
      <c r="AN56" s="2"/>
      <c r="AO56" s="26">
        <f>D56</f>
        <v>86241.931653415872</v>
      </c>
      <c r="AP56" s="26">
        <f>E56</f>
        <v>41860.100888615088</v>
      </c>
      <c r="AQ56" s="2"/>
      <c r="AR56" s="2">
        <f t="shared" ref="AR56" si="72">G56</f>
        <v>84094.770922253854</v>
      </c>
      <c r="AS56" s="2">
        <f t="shared" ref="AS56" si="73">H56</f>
        <v>97729.333823542707</v>
      </c>
      <c r="AT56" s="2">
        <f t="shared" si="31"/>
        <v>387724.57924849284</v>
      </c>
      <c r="AU56" s="2">
        <f t="shared" si="32"/>
        <v>0</v>
      </c>
    </row>
    <row r="57" spans="1:48" x14ac:dyDescent="0.25">
      <c r="A57">
        <f t="shared" si="4"/>
        <v>2010</v>
      </c>
      <c r="B57" s="2">
        <f t="shared" si="59"/>
        <v>89398.189657000548</v>
      </c>
      <c r="C57" s="2"/>
      <c r="D57" s="2">
        <f t="shared" si="62"/>
        <v>108199.12745237554</v>
      </c>
      <c r="E57" s="2">
        <f t="shared" si="63"/>
        <v>53463.720854939194</v>
      </c>
      <c r="F57" s="2"/>
      <c r="G57" s="2">
        <f t="shared" si="51"/>
        <v>93446.109448808478</v>
      </c>
      <c r="H57" s="2">
        <f t="shared" si="16"/>
        <v>104003.55705501416</v>
      </c>
      <c r="I57" s="2">
        <f t="shared" si="17"/>
        <v>448510.70446813793</v>
      </c>
      <c r="J57" s="2">
        <f t="shared" si="18"/>
        <v>60786.125219645095</v>
      </c>
      <c r="K57" s="6">
        <f t="shared" si="19"/>
        <v>0.15677655860111783</v>
      </c>
      <c r="L57" s="7">
        <f t="shared" si="20"/>
        <v>1.1567765586011178</v>
      </c>
      <c r="O57">
        <f t="shared" si="21"/>
        <v>2010</v>
      </c>
      <c r="P57" s="6">
        <f t="shared" si="5"/>
        <v>0.19932230996139216</v>
      </c>
      <c r="Q57" s="7"/>
      <c r="R57" s="6">
        <f t="shared" si="64"/>
        <v>0.24124090322589387</v>
      </c>
      <c r="S57" s="6">
        <f t="shared" si="65"/>
        <v>0.11920277559113919</v>
      </c>
      <c r="T57" s="7"/>
      <c r="U57" s="6">
        <f t="shared" si="5"/>
        <v>0.20834755674253225</v>
      </c>
      <c r="V57" s="6">
        <f t="shared" si="8"/>
        <v>0.23188645447904252</v>
      </c>
      <c r="W57" s="6">
        <f t="shared" si="22"/>
        <v>1</v>
      </c>
      <c r="X57" s="7">
        <f t="shared" si="23"/>
        <v>0.76811354552095745</v>
      </c>
      <c r="Y57" s="7">
        <f t="shared" si="24"/>
        <v>0</v>
      </c>
      <c r="Z57" s="6"/>
      <c r="AB57">
        <f t="shared" si="25"/>
        <v>2010</v>
      </c>
      <c r="AC57" s="1" t="b">
        <f t="shared" si="26"/>
        <v>1</v>
      </c>
      <c r="AE57" s="1" t="b">
        <f t="shared" si="66"/>
        <v>1</v>
      </c>
      <c r="AF57" s="1" t="b">
        <f t="shared" si="67"/>
        <v>1</v>
      </c>
      <c r="AH57" s="1" t="b">
        <f t="shared" ref="AH57:AH64" si="74">AND((G57/$I57)&gt;0.15,(G57/$I57)&lt;0.25)</f>
        <v>1</v>
      </c>
      <c r="AI57" s="39" t="b">
        <f t="shared" si="28"/>
        <v>0</v>
      </c>
      <c r="AJ57" s="1" t="b">
        <f t="shared" si="29"/>
        <v>1</v>
      </c>
      <c r="AL57">
        <f t="shared" si="30"/>
        <v>2010</v>
      </c>
      <c r="AM57" s="40">
        <f>AM$39*$AT57</f>
        <v>89702.140893627598</v>
      </c>
      <c r="AN57" s="2"/>
      <c r="AO57" s="40">
        <f>AO$39*$AT57</f>
        <v>89702.140893627598</v>
      </c>
      <c r="AP57" s="40">
        <f>AP$39*$AT57</f>
        <v>44851.070446813799</v>
      </c>
      <c r="AQ57" s="2"/>
      <c r="AR57" s="40">
        <f>AR$39*$AT57</f>
        <v>89702.140893627598</v>
      </c>
      <c r="AS57" s="40">
        <f>AS$39*$AT57</f>
        <v>134553.21134044137</v>
      </c>
      <c r="AT57" s="2">
        <f t="shared" si="31"/>
        <v>448510.70446813793</v>
      </c>
      <c r="AU57" s="2">
        <f t="shared" si="32"/>
        <v>0</v>
      </c>
    </row>
    <row r="58" spans="1:48" x14ac:dyDescent="0.25">
      <c r="A58">
        <f t="shared" si="4"/>
        <v>2011</v>
      </c>
      <c r="B58" s="2">
        <f t="shared" si="59"/>
        <v>91469.273069232062</v>
      </c>
      <c r="C58" s="2"/>
      <c r="D58" s="2">
        <f t="shared" si="62"/>
        <v>87809.425720772051</v>
      </c>
      <c r="E58" s="2">
        <f t="shared" si="63"/>
        <v>43595.240474303013</v>
      </c>
      <c r="F58" s="2"/>
      <c r="G58" s="2">
        <f t="shared" si="51"/>
        <v>76641.509179515429</v>
      </c>
      <c r="H58" s="2">
        <f t="shared" si="16"/>
        <v>144725.43411777876</v>
      </c>
      <c r="I58" s="2">
        <f t="shared" si="17"/>
        <v>444240.88256160135</v>
      </c>
      <c r="J58" s="2">
        <f t="shared" si="18"/>
        <v>-4269.8219065365847</v>
      </c>
      <c r="K58" s="6">
        <f t="shared" si="19"/>
        <v>-9.5199999999998029E-3</v>
      </c>
      <c r="L58" s="7">
        <f t="shared" si="20"/>
        <v>0.99048000000000025</v>
      </c>
      <c r="O58">
        <f t="shared" si="21"/>
        <v>2011</v>
      </c>
      <c r="P58" s="6">
        <f t="shared" si="5"/>
        <v>0.20590016961473223</v>
      </c>
      <c r="Q58" s="7"/>
      <c r="R58" s="6">
        <f t="shared" si="64"/>
        <v>0.19766173976253934</v>
      </c>
      <c r="S58" s="6">
        <f t="shared" si="65"/>
        <v>9.8134237945238664E-2</v>
      </c>
      <c r="T58" s="7"/>
      <c r="U58" s="6">
        <f t="shared" si="5"/>
        <v>0.17252241337533319</v>
      </c>
      <c r="V58" s="38">
        <f t="shared" si="8"/>
        <v>0.32578143930215647</v>
      </c>
      <c r="W58" s="6">
        <f t="shared" si="22"/>
        <v>1</v>
      </c>
      <c r="X58" s="7">
        <f t="shared" si="23"/>
        <v>0.67421856069784347</v>
      </c>
      <c r="Y58" s="7">
        <f t="shared" si="24"/>
        <v>0</v>
      </c>
      <c r="Z58" s="6"/>
      <c r="AB58">
        <f t="shared" si="25"/>
        <v>2011</v>
      </c>
      <c r="AC58" s="1" t="b">
        <f t="shared" si="26"/>
        <v>1</v>
      </c>
      <c r="AE58" s="1" t="b">
        <f t="shared" si="66"/>
        <v>1</v>
      </c>
      <c r="AF58" s="1" t="b">
        <f t="shared" si="67"/>
        <v>1</v>
      </c>
      <c r="AH58" s="1" t="b">
        <f t="shared" si="74"/>
        <v>1</v>
      </c>
      <c r="AI58" s="1" t="b">
        <f t="shared" si="28"/>
        <v>1</v>
      </c>
      <c r="AJ58" s="1" t="b">
        <f t="shared" si="29"/>
        <v>1</v>
      </c>
      <c r="AL58">
        <f t="shared" si="30"/>
        <v>2011</v>
      </c>
      <c r="AM58" s="63">
        <f>B58</f>
        <v>91469.273069232062</v>
      </c>
      <c r="AN58" s="2"/>
      <c r="AO58" s="26">
        <f>D58</f>
        <v>87809.425720772051</v>
      </c>
      <c r="AP58" s="26">
        <f>E58</f>
        <v>43595.240474303013</v>
      </c>
      <c r="AQ58" s="2"/>
      <c r="AR58" s="2">
        <f t="shared" ref="AR58" si="75">G58</f>
        <v>76641.509179515429</v>
      </c>
      <c r="AS58" s="2">
        <f t="shared" ref="AS58" si="76">H58</f>
        <v>144725.43411777876</v>
      </c>
      <c r="AT58" s="2">
        <f t="shared" si="31"/>
        <v>444240.88256160135</v>
      </c>
      <c r="AU58" s="2">
        <f t="shared" si="32"/>
        <v>0</v>
      </c>
    </row>
    <row r="59" spans="1:48" x14ac:dyDescent="0.25">
      <c r="A59">
        <f t="shared" si="4"/>
        <v>2012</v>
      </c>
      <c r="B59" s="2">
        <f t="shared" si="59"/>
        <v>105939.71206878456</v>
      </c>
      <c r="C59" s="2"/>
      <c r="D59" s="2">
        <f t="shared" si="62"/>
        <v>101683.31498465403</v>
      </c>
      <c r="E59" s="2">
        <f t="shared" si="63"/>
        <v>51459.821855867282</v>
      </c>
      <c r="F59" s="2"/>
      <c r="G59" s="2">
        <f t="shared" si="51"/>
        <v>90544.278944679536</v>
      </c>
      <c r="H59" s="2">
        <f t="shared" si="16"/>
        <v>150586.8141995488</v>
      </c>
      <c r="I59" s="2">
        <f t="shared" si="17"/>
        <v>500213.94205353421</v>
      </c>
      <c r="J59" s="2">
        <f t="shared" si="18"/>
        <v>55973.059491932858</v>
      </c>
      <c r="K59" s="6">
        <f t="shared" si="19"/>
        <v>0.1259970923188756</v>
      </c>
      <c r="L59" s="7">
        <f t="shared" si="20"/>
        <v>1.1259970923188756</v>
      </c>
      <c r="O59">
        <f t="shared" si="21"/>
        <v>2012</v>
      </c>
      <c r="P59" s="6">
        <f t="shared" si="5"/>
        <v>0.21178880307467843</v>
      </c>
      <c r="Q59" s="7"/>
      <c r="R59" s="6">
        <f t="shared" si="64"/>
        <v>0.20327964983785202</v>
      </c>
      <c r="S59" s="6">
        <f t="shared" si="65"/>
        <v>0.1028756248668493</v>
      </c>
      <c r="T59" s="7"/>
      <c r="U59" s="6">
        <f t="shared" si="5"/>
        <v>0.18101110611385007</v>
      </c>
      <c r="V59" s="6">
        <f t="shared" si="8"/>
        <v>0.3010448161067702</v>
      </c>
      <c r="W59" s="6">
        <f t="shared" si="22"/>
        <v>1</v>
      </c>
      <c r="X59" s="7">
        <f t="shared" si="23"/>
        <v>0.69895518389322986</v>
      </c>
      <c r="Y59" s="7">
        <f t="shared" si="24"/>
        <v>0</v>
      </c>
      <c r="Z59" s="6"/>
      <c r="AA59" s="7"/>
      <c r="AB59">
        <f t="shared" si="25"/>
        <v>2012</v>
      </c>
      <c r="AC59" s="1" t="b">
        <f t="shared" si="26"/>
        <v>1</v>
      </c>
      <c r="AE59" s="1" t="b">
        <f t="shared" si="66"/>
        <v>1</v>
      </c>
      <c r="AF59" s="1" t="b">
        <f t="shared" si="67"/>
        <v>1</v>
      </c>
      <c r="AH59" s="1" t="b">
        <f t="shared" si="74"/>
        <v>1</v>
      </c>
      <c r="AI59" s="1" t="b">
        <f t="shared" si="28"/>
        <v>1</v>
      </c>
      <c r="AJ59" s="1" t="b">
        <f t="shared" si="29"/>
        <v>1</v>
      </c>
      <c r="AL59">
        <f t="shared" si="30"/>
        <v>2012</v>
      </c>
      <c r="AM59" s="63">
        <f>B59</f>
        <v>105939.71206878456</v>
      </c>
      <c r="AN59" s="2"/>
      <c r="AO59" s="26">
        <f>D59</f>
        <v>101683.31498465403</v>
      </c>
      <c r="AP59" s="26">
        <f>E59</f>
        <v>51459.821855867282</v>
      </c>
      <c r="AQ59" s="2"/>
      <c r="AR59" s="2">
        <f t="shared" ref="AR59" si="77">G59</f>
        <v>90544.278944679536</v>
      </c>
      <c r="AS59" s="2">
        <f t="shared" ref="AS59" si="78">H59</f>
        <v>150586.8141995488</v>
      </c>
      <c r="AT59" s="2">
        <f t="shared" si="31"/>
        <v>500213.94205353421</v>
      </c>
      <c r="AU59" s="2">
        <f t="shared" si="32"/>
        <v>0</v>
      </c>
    </row>
    <row r="60" spans="1:48" x14ac:dyDescent="0.25">
      <c r="A60">
        <f t="shared" si="4"/>
        <v>2013</v>
      </c>
      <c r="B60" s="2">
        <f t="shared" si="59"/>
        <v>140031.11141251944</v>
      </c>
      <c r="C60" s="2"/>
      <c r="D60" s="2">
        <f t="shared" si="62"/>
        <v>137272.47522928295</v>
      </c>
      <c r="E60" s="2">
        <f t="shared" si="63"/>
        <v>70819.006838044545</v>
      </c>
      <c r="F60" s="2"/>
      <c r="G60" s="2">
        <f t="shared" si="51"/>
        <v>104162.13849795933</v>
      </c>
      <c r="H60" s="2">
        <f t="shared" si="16"/>
        <v>147183.55219863899</v>
      </c>
      <c r="I60" s="2">
        <f t="shared" si="17"/>
        <v>599468.28417644533</v>
      </c>
      <c r="J60" s="2">
        <f t="shared" si="18"/>
        <v>99254.342122911126</v>
      </c>
      <c r="K60" s="6">
        <f t="shared" si="19"/>
        <v>0.19842378186309861</v>
      </c>
      <c r="L60" s="7">
        <f t="shared" si="20"/>
        <v>1.1984237818630987</v>
      </c>
      <c r="O60">
        <f t="shared" si="21"/>
        <v>2013</v>
      </c>
      <c r="P60" s="6">
        <f t="shared" si="5"/>
        <v>0.23359219346340462</v>
      </c>
      <c r="Q60" s="7"/>
      <c r="R60" s="6">
        <f t="shared" si="64"/>
        <v>0.2289903884037319</v>
      </c>
      <c r="S60" s="6">
        <f t="shared" si="65"/>
        <v>0.11813636969191173</v>
      </c>
      <c r="T60" s="7"/>
      <c r="U60" s="6">
        <f t="shared" si="5"/>
        <v>0.17375754689183961</v>
      </c>
      <c r="V60" s="6">
        <f t="shared" si="8"/>
        <v>0.24552350154911201</v>
      </c>
      <c r="W60" s="6">
        <f t="shared" si="22"/>
        <v>1</v>
      </c>
      <c r="X60" s="7">
        <f t="shared" si="23"/>
        <v>0.75447649845088793</v>
      </c>
      <c r="Y60" s="7">
        <f t="shared" si="24"/>
        <v>0</v>
      </c>
      <c r="Z60" s="6"/>
      <c r="AB60">
        <f t="shared" si="25"/>
        <v>2013</v>
      </c>
      <c r="AC60" s="1" t="b">
        <f t="shared" si="26"/>
        <v>1</v>
      </c>
      <c r="AE60" s="1" t="b">
        <f t="shared" si="66"/>
        <v>1</v>
      </c>
      <c r="AF60" s="1" t="b">
        <f t="shared" si="67"/>
        <v>1</v>
      </c>
      <c r="AH60" s="1" t="b">
        <f t="shared" si="74"/>
        <v>1</v>
      </c>
      <c r="AI60" s="39" t="b">
        <f t="shared" si="28"/>
        <v>0</v>
      </c>
      <c r="AJ60" s="1" t="b">
        <f t="shared" si="29"/>
        <v>1</v>
      </c>
      <c r="AL60">
        <f t="shared" si="30"/>
        <v>2013</v>
      </c>
      <c r="AM60" s="40">
        <f>AM$39*$AT60</f>
        <v>119893.65683528908</v>
      </c>
      <c r="AN60" s="2"/>
      <c r="AO60" s="40">
        <f>AO$39*$AT60</f>
        <v>119893.65683528908</v>
      </c>
      <c r="AP60" s="40">
        <f>AP$39*$AT60</f>
        <v>59946.828417644538</v>
      </c>
      <c r="AQ60" s="2"/>
      <c r="AR60" s="40">
        <f>AR$39*$AT60</f>
        <v>119893.65683528908</v>
      </c>
      <c r="AS60" s="40">
        <f>AS$39*$AT60</f>
        <v>179840.48525293361</v>
      </c>
      <c r="AT60" s="2">
        <f t="shared" si="31"/>
        <v>599468.28417644533</v>
      </c>
      <c r="AU60" s="2">
        <f t="shared" si="32"/>
        <v>0</v>
      </c>
    </row>
    <row r="61" spans="1:48" x14ac:dyDescent="0.25">
      <c r="A61">
        <f t="shared" si="4"/>
        <v>2014</v>
      </c>
      <c r="B61" s="2">
        <f t="shared" si="59"/>
        <v>136091.28987373662</v>
      </c>
      <c r="C61" s="2"/>
      <c r="D61" s="2">
        <f t="shared" si="62"/>
        <v>136199.19416488841</v>
      </c>
      <c r="E61" s="2">
        <f t="shared" si="63"/>
        <v>64364.909672024944</v>
      </c>
      <c r="F61" s="2"/>
      <c r="G61" s="2">
        <f t="shared" si="51"/>
        <v>114810.16578547283</v>
      </c>
      <c r="H61" s="2">
        <f t="shared" si="16"/>
        <v>190199.29720350259</v>
      </c>
      <c r="I61" s="2">
        <f t="shared" si="17"/>
        <v>641664.85669962538</v>
      </c>
      <c r="J61" s="2">
        <f t="shared" si="18"/>
        <v>42196.572523180046</v>
      </c>
      <c r="K61" s="6">
        <f t="shared" si="19"/>
        <v>7.0390000000000105E-2</v>
      </c>
      <c r="L61" s="7">
        <f t="shared" si="20"/>
        <v>1.0703900000000002</v>
      </c>
      <c r="O61">
        <f t="shared" si="21"/>
        <v>2014</v>
      </c>
      <c r="P61" s="6">
        <f t="shared" si="5"/>
        <v>0.21209092013191452</v>
      </c>
      <c r="Q61" s="7"/>
      <c r="R61" s="6">
        <f t="shared" si="64"/>
        <v>0.21225908313792172</v>
      </c>
      <c r="S61" s="6">
        <f t="shared" si="65"/>
        <v>0.10030923308326872</v>
      </c>
      <c r="T61" s="7"/>
      <c r="U61" s="6">
        <f t="shared" si="5"/>
        <v>0.17892543839161429</v>
      </c>
      <c r="V61" s="6">
        <f t="shared" si="8"/>
        <v>0.2964153252552808</v>
      </c>
      <c r="W61" s="6">
        <f t="shared" si="22"/>
        <v>1</v>
      </c>
      <c r="X61" s="7">
        <f t="shared" si="23"/>
        <v>0.7035846747447192</v>
      </c>
      <c r="Y61" s="7">
        <f t="shared" si="24"/>
        <v>0</v>
      </c>
      <c r="Z61" s="6"/>
      <c r="AB61">
        <f t="shared" si="25"/>
        <v>2014</v>
      </c>
      <c r="AC61" s="1" t="b">
        <f t="shared" si="26"/>
        <v>1</v>
      </c>
      <c r="AE61" s="1" t="b">
        <f t="shared" si="66"/>
        <v>1</v>
      </c>
      <c r="AF61" s="1" t="b">
        <f t="shared" si="67"/>
        <v>1</v>
      </c>
      <c r="AH61" s="1" t="b">
        <f t="shared" si="74"/>
        <v>1</v>
      </c>
      <c r="AI61" s="1" t="b">
        <f t="shared" si="28"/>
        <v>1</v>
      </c>
      <c r="AJ61" s="1" t="b">
        <f t="shared" si="29"/>
        <v>1</v>
      </c>
      <c r="AL61">
        <f t="shared" si="30"/>
        <v>2014</v>
      </c>
      <c r="AM61" s="63">
        <f>B61</f>
        <v>136091.28987373662</v>
      </c>
      <c r="AN61" s="63"/>
      <c r="AO61" s="85">
        <f t="shared" ref="AO61" si="79">D61</f>
        <v>136199.19416488841</v>
      </c>
      <c r="AP61" s="85">
        <f t="shared" ref="AP61" si="80">E61</f>
        <v>64364.909672024944</v>
      </c>
      <c r="AQ61" s="63"/>
      <c r="AR61" s="63">
        <f t="shared" ref="AR61" si="81">G61</f>
        <v>114810.16578547283</v>
      </c>
      <c r="AS61" s="63">
        <f t="shared" ref="AS61" si="82">H61</f>
        <v>190199.29720350259</v>
      </c>
      <c r="AT61" s="2">
        <f t="shared" si="31"/>
        <v>641664.85669962538</v>
      </c>
      <c r="AU61" s="2">
        <f t="shared" si="32"/>
        <v>0</v>
      </c>
    </row>
    <row r="62" spans="1:48" x14ac:dyDescent="0.25">
      <c r="A62">
        <f t="shared" si="4"/>
        <v>2015</v>
      </c>
      <c r="B62" s="2">
        <f t="shared" si="59"/>
        <v>137792.43099715831</v>
      </c>
      <c r="C62" s="2"/>
      <c r="D62" s="2">
        <f t="shared" si="62"/>
        <v>134210.68593008103</v>
      </c>
      <c r="E62" s="2">
        <f t="shared" si="63"/>
        <v>61931.916086422396</v>
      </c>
      <c r="F62" s="2"/>
      <c r="G62" s="2">
        <f t="shared" si="51"/>
        <v>109792.96154064767</v>
      </c>
      <c r="H62" s="2">
        <f t="shared" si="16"/>
        <v>190769.89509511308</v>
      </c>
      <c r="I62" s="2">
        <f t="shared" si="17"/>
        <v>634497.88964942249</v>
      </c>
      <c r="J62" s="2">
        <f t="shared" si="18"/>
        <v>-7166.9670502028894</v>
      </c>
      <c r="K62" s="6">
        <f t="shared" si="19"/>
        <v>-1.1169330804660029E-2</v>
      </c>
      <c r="L62" s="7">
        <f t="shared" si="20"/>
        <v>0.98883066919534002</v>
      </c>
      <c r="O62">
        <f t="shared" si="21"/>
        <v>2015</v>
      </c>
      <c r="P62" s="6">
        <f t="shared" si="5"/>
        <v>0.21716767422708438</v>
      </c>
      <c r="Q62" s="7"/>
      <c r="R62" s="6">
        <f t="shared" si="64"/>
        <v>0.21152266716637327</v>
      </c>
      <c r="S62" s="6">
        <f t="shared" si="65"/>
        <v>9.7607757404270454E-2</v>
      </c>
      <c r="T62" s="7"/>
      <c r="U62" s="6">
        <f t="shared" si="5"/>
        <v>0.17303912799664517</v>
      </c>
      <c r="V62" s="6">
        <f t="shared" si="8"/>
        <v>0.30066277320562673</v>
      </c>
      <c r="W62" s="6">
        <f t="shared" si="22"/>
        <v>0.99999999999999989</v>
      </c>
      <c r="X62" s="7">
        <f t="shared" si="23"/>
        <v>0.69933722679437316</v>
      </c>
      <c r="Y62" s="7">
        <f t="shared" si="24"/>
        <v>0</v>
      </c>
      <c r="Z62" s="6"/>
      <c r="AB62">
        <f t="shared" si="25"/>
        <v>2015</v>
      </c>
      <c r="AC62" s="1" t="b">
        <f t="shared" si="26"/>
        <v>1</v>
      </c>
      <c r="AE62" s="1" t="b">
        <f t="shared" si="66"/>
        <v>1</v>
      </c>
      <c r="AF62" s="1" t="b">
        <f t="shared" si="67"/>
        <v>1</v>
      </c>
      <c r="AH62" s="1" t="b">
        <f t="shared" si="74"/>
        <v>1</v>
      </c>
      <c r="AI62" s="1" t="b">
        <f t="shared" si="28"/>
        <v>1</v>
      </c>
      <c r="AJ62" s="1" t="b">
        <f t="shared" si="29"/>
        <v>1</v>
      </c>
      <c r="AL62">
        <f t="shared" si="30"/>
        <v>2015</v>
      </c>
      <c r="AM62" s="2">
        <f>B62</f>
        <v>137792.43099715831</v>
      </c>
      <c r="AN62" s="2"/>
      <c r="AO62" s="26">
        <f t="shared" ref="AO62" si="83">D62</f>
        <v>134210.68593008103</v>
      </c>
      <c r="AP62" s="26">
        <f t="shared" ref="AP62" si="84">E62</f>
        <v>61931.916086422396</v>
      </c>
      <c r="AQ62" s="2"/>
      <c r="AR62" s="2">
        <f t="shared" ref="AR62" si="85">G62</f>
        <v>109792.96154064767</v>
      </c>
      <c r="AS62" s="2">
        <f t="shared" ref="AS62" si="86">H62</f>
        <v>190769.89509511308</v>
      </c>
      <c r="AT62" s="2">
        <f t="shared" si="31"/>
        <v>634497.88964942249</v>
      </c>
      <c r="AU62" s="2">
        <f t="shared" si="32"/>
        <v>0</v>
      </c>
    </row>
    <row r="63" spans="1:48" x14ac:dyDescent="0.25">
      <c r="A63">
        <f t="shared" si="4"/>
        <v>2016</v>
      </c>
      <c r="B63" s="2">
        <f t="shared" si="59"/>
        <v>154079.49634102243</v>
      </c>
      <c r="C63" s="2"/>
      <c r="D63" s="2">
        <f t="shared" si="62"/>
        <v>149067.80886254102</v>
      </c>
      <c r="E63" s="2">
        <f t="shared" si="63"/>
        <v>73184.945239325345</v>
      </c>
      <c r="F63" s="2"/>
      <c r="G63" s="2">
        <f t="shared" si="51"/>
        <v>114898.33425228778</v>
      </c>
      <c r="H63" s="2">
        <f t="shared" si="16"/>
        <v>195539.1424724909</v>
      </c>
      <c r="I63" s="2">
        <f t="shared" si="17"/>
        <v>686769.72716766747</v>
      </c>
      <c r="J63" s="2">
        <f t="shared" si="18"/>
        <v>52271.837518244982</v>
      </c>
      <c r="K63" s="6">
        <f t="shared" si="19"/>
        <v>8.2382996651299514E-2</v>
      </c>
      <c r="L63" s="7">
        <f t="shared" si="20"/>
        <v>1.0823829966512994</v>
      </c>
      <c r="O63">
        <f t="shared" si="21"/>
        <v>2016</v>
      </c>
      <c r="P63" s="6">
        <f t="shared" si="5"/>
        <v>0.22435394317170532</v>
      </c>
      <c r="Q63" s="7"/>
      <c r="R63" s="6">
        <f t="shared" si="64"/>
        <v>0.21705646443869492</v>
      </c>
      <c r="S63" s="6">
        <f t="shared" si="65"/>
        <v>0.10656402334615141</v>
      </c>
      <c r="T63" s="7"/>
      <c r="U63" s="6">
        <f t="shared" si="5"/>
        <v>0.16730256111629188</v>
      </c>
      <c r="V63" s="6">
        <f t="shared" si="8"/>
        <v>0.28472300792715649</v>
      </c>
      <c r="W63" s="6">
        <f t="shared" si="22"/>
        <v>1</v>
      </c>
      <c r="X63" s="7">
        <f t="shared" si="23"/>
        <v>0.71527699207284345</v>
      </c>
      <c r="Y63" s="7">
        <f t="shared" si="24"/>
        <v>0</v>
      </c>
      <c r="Z63" s="6"/>
      <c r="AB63">
        <f t="shared" si="25"/>
        <v>2016</v>
      </c>
      <c r="AC63" s="1" t="b">
        <f t="shared" si="26"/>
        <v>1</v>
      </c>
      <c r="AE63" s="1" t="b">
        <f t="shared" si="66"/>
        <v>1</v>
      </c>
      <c r="AF63" s="1" t="b">
        <f t="shared" si="67"/>
        <v>1</v>
      </c>
      <c r="AH63" s="1" t="b">
        <f t="shared" si="74"/>
        <v>1</v>
      </c>
      <c r="AI63" s="35" t="b">
        <f t="shared" si="28"/>
        <v>1</v>
      </c>
      <c r="AJ63" s="1" t="b">
        <f t="shared" si="29"/>
        <v>1</v>
      </c>
      <c r="AL63">
        <f t="shared" si="30"/>
        <v>2016</v>
      </c>
      <c r="AM63" s="2">
        <f>B63</f>
        <v>154079.49634102243</v>
      </c>
      <c r="AN63" s="2"/>
      <c r="AO63" s="26">
        <f t="shared" ref="AO63" si="87">D63</f>
        <v>149067.80886254102</v>
      </c>
      <c r="AP63" s="26">
        <f t="shared" ref="AP63" si="88">E63</f>
        <v>73184.945239325345</v>
      </c>
      <c r="AQ63" s="2"/>
      <c r="AR63" s="2">
        <f t="shared" ref="AR63" si="89">G63</f>
        <v>114898.33425228778</v>
      </c>
      <c r="AS63" s="2">
        <f t="shared" ref="AS63" si="90">H63</f>
        <v>195539.1424724909</v>
      </c>
      <c r="AT63" s="2">
        <f t="shared" si="31"/>
        <v>686769.72716766747</v>
      </c>
      <c r="AU63" s="2">
        <f t="shared" si="32"/>
        <v>0</v>
      </c>
      <c r="AV63" s="35"/>
    </row>
    <row r="64" spans="1:48" x14ac:dyDescent="0.25">
      <c r="A64">
        <f t="shared" si="4"/>
        <v>2017</v>
      </c>
      <c r="B64" s="2">
        <f t="shared" si="59"/>
        <v>187468.52319812198</v>
      </c>
      <c r="C64" s="2"/>
      <c r="D64" s="2">
        <f t="shared" si="62"/>
        <v>178285.09939959904</v>
      </c>
      <c r="E64" s="2">
        <f t="shared" si="63"/>
        <v>84967.721422856732</v>
      </c>
      <c r="F64" s="2"/>
      <c r="G64" s="2">
        <f t="shared" si="51"/>
        <v>146380.47783741463</v>
      </c>
      <c r="H64" s="2">
        <f t="shared" si="16"/>
        <v>202304.79680203908</v>
      </c>
      <c r="I64" s="2">
        <f t="shared" si="17"/>
        <v>799406.61866003159</v>
      </c>
      <c r="J64" s="2">
        <f t="shared" si="18"/>
        <v>112636.89149236411</v>
      </c>
      <c r="K64" s="6">
        <f t="shared" si="19"/>
        <v>0.16400969209416685</v>
      </c>
      <c r="L64" s="7">
        <f t="shared" si="20"/>
        <v>1.1640096920941669</v>
      </c>
      <c r="O64">
        <f t="shared" si="21"/>
        <v>2017</v>
      </c>
      <c r="P64" s="6">
        <f t="shared" si="5"/>
        <v>0.23450959602055513</v>
      </c>
      <c r="Q64" s="7"/>
      <c r="R64" s="6">
        <f t="shared" si="64"/>
        <v>0.22302179546429227</v>
      </c>
      <c r="S64" s="6">
        <f t="shared" si="65"/>
        <v>0.1062884887859447</v>
      </c>
      <c r="T64" s="7"/>
      <c r="U64" s="6">
        <f t="shared" si="5"/>
        <v>0.18311141591844479</v>
      </c>
      <c r="V64" s="6">
        <f t="shared" si="8"/>
        <v>0.25306870381076296</v>
      </c>
      <c r="W64" s="6">
        <f t="shared" si="22"/>
        <v>0.99999999999999989</v>
      </c>
      <c r="X64" s="7">
        <f t="shared" si="23"/>
        <v>0.74693129618923693</v>
      </c>
      <c r="Y64" s="7">
        <f t="shared" si="24"/>
        <v>0</v>
      </c>
      <c r="Z64" s="6"/>
      <c r="AB64">
        <f t="shared" si="25"/>
        <v>2017</v>
      </c>
      <c r="AC64" s="1" t="b">
        <f t="shared" si="26"/>
        <v>1</v>
      </c>
      <c r="AE64" s="1" t="b">
        <f t="shared" si="66"/>
        <v>1</v>
      </c>
      <c r="AF64" s="1" t="b">
        <f t="shared" si="67"/>
        <v>1</v>
      </c>
      <c r="AH64" s="1" t="b">
        <f t="shared" si="74"/>
        <v>1</v>
      </c>
      <c r="AI64" s="1" t="b">
        <f t="shared" si="28"/>
        <v>1</v>
      </c>
      <c r="AJ64" s="1" t="b">
        <f t="shared" si="29"/>
        <v>1</v>
      </c>
      <c r="AL64">
        <f t="shared" si="30"/>
        <v>2017</v>
      </c>
      <c r="AM64" s="2">
        <f>B64</f>
        <v>187468.52319812198</v>
      </c>
      <c r="AN64" s="2"/>
      <c r="AO64" s="26">
        <f t="shared" ref="AO64:AP64" si="91">D64</f>
        <v>178285.09939959904</v>
      </c>
      <c r="AP64" s="26">
        <f t="shared" si="91"/>
        <v>84967.721422856732</v>
      </c>
      <c r="AQ64" s="2"/>
      <c r="AR64" s="2">
        <f t="shared" ref="AR64" si="92">G64</f>
        <v>146380.47783741463</v>
      </c>
      <c r="AS64" s="2">
        <f t="shared" si="12"/>
        <v>202304.79680203908</v>
      </c>
      <c r="AT64" s="2">
        <f t="shared" si="31"/>
        <v>799406.61866003159</v>
      </c>
      <c r="AU64" s="2">
        <f t="shared" si="32"/>
        <v>0</v>
      </c>
    </row>
    <row r="65" spans="1:45" x14ac:dyDescent="0.25">
      <c r="A65" s="9" t="s">
        <v>79</v>
      </c>
      <c r="B65" s="10">
        <f>B64</f>
        <v>187468.52319812198</v>
      </c>
      <c r="C65" s="10"/>
      <c r="D65" s="10">
        <f>D64</f>
        <v>178285.09939959904</v>
      </c>
      <c r="E65" s="10">
        <f>E64</f>
        <v>84967.721422856732</v>
      </c>
      <c r="F65" s="10"/>
      <c r="G65" s="10">
        <f>G64</f>
        <v>146380.47783741463</v>
      </c>
      <c r="H65" s="10">
        <f>H64</f>
        <v>202304.79680203908</v>
      </c>
      <c r="I65" s="10">
        <f>SUM(B64:H64)</f>
        <v>799406.61866003159</v>
      </c>
      <c r="J65" s="10"/>
      <c r="K65" s="10"/>
      <c r="AM65" s="2"/>
      <c r="AO65" s="2"/>
      <c r="AP65" s="2"/>
      <c r="AR65" s="2"/>
      <c r="AS65" s="2"/>
    </row>
    <row r="66" spans="1:45" x14ac:dyDescent="0.25">
      <c r="A66" s="11" t="s">
        <v>80</v>
      </c>
      <c r="I66" s="6">
        <f>(I65-I39)/I39</f>
        <v>6.9940661866003158</v>
      </c>
      <c r="K66" s="6"/>
      <c r="R66" s="7"/>
      <c r="AO66" s="2"/>
    </row>
    <row r="67" spans="1:45" x14ac:dyDescent="0.25">
      <c r="A67" s="1" t="s">
        <v>81</v>
      </c>
      <c r="I67" s="29">
        <f>STDEV(L40:L64)</f>
        <v>0.11831599222555474</v>
      </c>
      <c r="K67" s="30"/>
      <c r="AL67" s="21" t="s">
        <v>161</v>
      </c>
      <c r="AM67">
        <f>COUNTA(AM62,AM60,AM58,AM55,AM54,AM50,AM48,AM44)</f>
        <v>8</v>
      </c>
    </row>
    <row r="68" spans="1:45" x14ac:dyDescent="0.25">
      <c r="A68" s="1" t="s">
        <v>82</v>
      </c>
      <c r="I68" s="13">
        <f>((1+I66)^(1/I73))-1</f>
        <v>8.6702608631820111E-2</v>
      </c>
      <c r="K68" s="30"/>
      <c r="AL68" t="s">
        <v>162</v>
      </c>
      <c r="AM68">
        <f>COUNTA(AL40:AL64)</f>
        <v>25</v>
      </c>
    </row>
    <row r="69" spans="1:45" x14ac:dyDescent="0.25">
      <c r="A69" s="1" t="s">
        <v>83</v>
      </c>
      <c r="I69" s="31">
        <f>J60</f>
        <v>99254.342122911126</v>
      </c>
      <c r="AL69" s="21" t="s">
        <v>163</v>
      </c>
      <c r="AM69">
        <f>AM68/AM67</f>
        <v>3.125</v>
      </c>
    </row>
    <row r="70" spans="1:45" x14ac:dyDescent="0.25">
      <c r="A70" s="1" t="s">
        <v>84</v>
      </c>
      <c r="I70" s="32">
        <f>K60</f>
        <v>0.19842378186309861</v>
      </c>
    </row>
    <row r="71" spans="1:45" x14ac:dyDescent="0.25">
      <c r="A71" s="3" t="s">
        <v>85</v>
      </c>
      <c r="I71" s="33">
        <f>I64-I65</f>
        <v>0</v>
      </c>
    </row>
    <row r="72" spans="1:45" x14ac:dyDescent="0.25">
      <c r="A72" s="3" t="s">
        <v>149</v>
      </c>
      <c r="I72" s="33">
        <f>((SUM(J40:J64))-(I65-I39))</f>
        <v>0</v>
      </c>
    </row>
    <row r="73" spans="1:45" x14ac:dyDescent="0.25">
      <c r="A73" s="3" t="s">
        <v>160</v>
      </c>
      <c r="I73" s="3">
        <f>COUNTA(I40:I64)</f>
        <v>25</v>
      </c>
    </row>
    <row r="74" spans="1:45" x14ac:dyDescent="0.25">
      <c r="A74" s="1" t="s">
        <v>106</v>
      </c>
      <c r="B74" s="63"/>
      <c r="C74" s="63"/>
      <c r="D74" s="63"/>
      <c r="E74" s="63"/>
      <c r="G74" s="63"/>
      <c r="H74" s="63"/>
      <c r="I74" s="86">
        <f>(SUM(B65:G65)/I65)</f>
        <v>0.74693129618923693</v>
      </c>
    </row>
    <row r="75" spans="1:45" x14ac:dyDescent="0.25">
      <c r="A75" s="1" t="s">
        <v>107</v>
      </c>
      <c r="B75" s="63"/>
      <c r="C75" s="63"/>
      <c r="D75" s="63"/>
      <c r="E75" s="63"/>
      <c r="G75" s="63"/>
      <c r="H75" s="63"/>
      <c r="I75" s="86">
        <f>(H65/I65)</f>
        <v>0.25306870381076296</v>
      </c>
    </row>
    <row r="76" spans="1:45" x14ac:dyDescent="0.25">
      <c r="A76" s="3" t="s">
        <v>108</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76"/>
  <sheetViews>
    <sheetView topLeftCell="A59" zoomScaleNormal="100" workbookViewId="0">
      <selection activeCell="A74" sqref="A74:I76"/>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row>
    <row r="5" spans="1:8"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row>
    <row r="6" spans="1:8"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row>
    <row r="7" spans="1:8"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row>
    <row r="8" spans="1:8" x14ac:dyDescent="0.25">
      <c r="A8" s="17">
        <f>'Non-Rebalanced Portfolio'!A8</f>
        <v>1997</v>
      </c>
      <c r="B8" s="17">
        <f>'Non-Rebalanced Portfolio'!B8</f>
        <v>33.19</v>
      </c>
      <c r="C8" s="17">
        <f>'Non-Rebalanced Portfolio'!C8</f>
        <v>26.687000000000001</v>
      </c>
      <c r="D8" s="17"/>
      <c r="E8" s="17"/>
      <c r="F8" s="17">
        <f>'Non-Rebalanced Portfolio'!F8</f>
        <v>0</v>
      </c>
      <c r="G8" s="17"/>
      <c r="H8" s="17">
        <f>'Non-Rebalanced Portfolio'!H8</f>
        <v>9.44</v>
      </c>
    </row>
    <row r="9" spans="1:8" x14ac:dyDescent="0.25">
      <c r="A9" s="17">
        <f>'Non-Rebalanced Portfolio'!A9</f>
        <v>1998</v>
      </c>
      <c r="B9" s="17">
        <f>'Non-Rebalanced Portfolio'!B9</f>
        <v>28.66</v>
      </c>
      <c r="C9" s="17">
        <f>'Non-Rebalanced Portfolio'!C9</f>
        <v>8.3529999999999998</v>
      </c>
      <c r="D9" s="17"/>
      <c r="E9" s="17"/>
      <c r="F9" s="17">
        <f>'Non-Rebalanced Portfolio'!F9</f>
        <v>0</v>
      </c>
      <c r="G9" s="17"/>
      <c r="H9" s="17">
        <f>'Non-Rebalanced Portfolio'!H9</f>
        <v>8.58</v>
      </c>
    </row>
    <row r="10" spans="1:8" x14ac:dyDescent="0.25">
      <c r="A10" s="17">
        <f>'Non-Rebalanced Portfolio'!A10</f>
        <v>1999</v>
      </c>
      <c r="B10" s="17">
        <f>'Non-Rebalanced Portfolio'!B10</f>
        <v>21.07</v>
      </c>
      <c r="C10" s="17">
        <f>'Non-Rebalanced Portfolio'!C10</f>
        <v>0</v>
      </c>
      <c r="D10" s="17"/>
      <c r="E10" s="17"/>
      <c r="F10" s="17">
        <f>'Non-Rebalanced Portfolio'!F10</f>
        <v>0</v>
      </c>
      <c r="G10" s="17">
        <f>'Non-Rebalanced Portfolio'!G10</f>
        <v>29.919</v>
      </c>
      <c r="H10" s="17">
        <f>'Non-Rebalanced Portfolio'!H10</f>
        <v>-0.76</v>
      </c>
    </row>
    <row r="11" spans="1:8" x14ac:dyDescent="0.25">
      <c r="A11" s="17">
        <f>'Non-Rebalanced Portfolio'!A11</f>
        <v>2000</v>
      </c>
      <c r="B11" s="17">
        <f>'Non-Rebalanced Portfolio'!B11</f>
        <v>-9.06</v>
      </c>
      <c r="C11" s="17">
        <f>'Non-Rebalanced Portfolio'!C11</f>
        <v>0</v>
      </c>
      <c r="D11" s="17">
        <f>'Non-Rebalanced Portfolio'!D11</f>
        <v>18.097999999999999</v>
      </c>
      <c r="E11" s="17">
        <f>'Non-Rebalanced Portfolio'!E11</f>
        <v>-2.665</v>
      </c>
      <c r="F11" s="17">
        <f>'Non-Rebalanced Portfolio'!F11</f>
        <v>0</v>
      </c>
      <c r="G11" s="18">
        <f>'Non-Rebalanced Portfolio'!G11</f>
        <v>-15.614000000000001</v>
      </c>
      <c r="H11" s="17">
        <f>'Non-Rebalanced Portfolio'!H11</f>
        <v>11.39</v>
      </c>
    </row>
    <row r="12" spans="1:8" x14ac:dyDescent="0.25">
      <c r="A12" s="17">
        <f>'Non-Rebalanced Portfolio'!A12</f>
        <v>2001</v>
      </c>
      <c r="B12" s="17">
        <f>'Non-Rebalanced Portfolio'!B12</f>
        <v>-12.02</v>
      </c>
      <c r="C12" s="17">
        <f>'Non-Rebalanced Portfolio'!C12</f>
        <v>0</v>
      </c>
      <c r="D12" s="17">
        <f>'Non-Rebalanced Portfolio'!D12</f>
        <v>-0.499</v>
      </c>
      <c r="E12" s="17">
        <f>'Non-Rebalanced Portfolio'!E12</f>
        <v>3.1</v>
      </c>
      <c r="F12" s="17">
        <f>'Non-Rebalanced Portfolio'!F12</f>
        <v>0</v>
      </c>
      <c r="G12" s="17">
        <f>'Non-Rebalanced Portfolio'!G12</f>
        <v>-20.152999999999999</v>
      </c>
      <c r="H12" s="17">
        <f>'Non-Rebalanced Portfolio'!H12</f>
        <v>8.43</v>
      </c>
    </row>
    <row r="13" spans="1:8" x14ac:dyDescent="0.25">
      <c r="A13" s="17">
        <f>'Non-Rebalanced Portfolio'!A13</f>
        <v>2002</v>
      </c>
      <c r="B13" s="17">
        <f>'Non-Rebalanced Portfolio'!B13</f>
        <v>-22.15</v>
      </c>
      <c r="C13" s="17">
        <f>'Non-Rebalanced Portfolio'!C13</f>
        <v>0</v>
      </c>
      <c r="D13" s="18">
        <f>'Non-Rebalanced Portfolio'!D13</f>
        <v>-14.608000000000001</v>
      </c>
      <c r="E13" s="18">
        <f>'Non-Rebalanced Portfolio'!E13</f>
        <v>-20.021999999999998</v>
      </c>
      <c r="F13" s="17"/>
      <c r="G13" s="17">
        <f>'Non-Rebalanced Portfolio'!G13</f>
        <v>-15.083</v>
      </c>
      <c r="H13" s="17">
        <f>'Non-Rebalanced Portfolio'!H13</f>
        <v>8.26</v>
      </c>
    </row>
    <row r="14" spans="1:8" x14ac:dyDescent="0.25">
      <c r="A14" s="17">
        <f>'Non-Rebalanced Portfolio'!A14</f>
        <v>2003</v>
      </c>
      <c r="B14" s="17">
        <f>'Non-Rebalanced Portfolio'!B14</f>
        <v>28.5</v>
      </c>
      <c r="C14" s="17">
        <f>'Non-Rebalanced Portfolio'!C14</f>
        <v>0</v>
      </c>
      <c r="D14" s="17">
        <f>'Non-Rebalanced Portfolio'!D14</f>
        <v>34.142000000000003</v>
      </c>
      <c r="E14" s="17">
        <f>'Non-Rebalanced Portfolio'!E14</f>
        <v>45.628</v>
      </c>
      <c r="F14" s="17"/>
      <c r="G14" s="17">
        <f>'Non-Rebalanced Portfolio'!G14</f>
        <v>40.340000000000003</v>
      </c>
      <c r="H14" s="17">
        <f>'Non-Rebalanced Portfolio'!H14</f>
        <v>3.97</v>
      </c>
    </row>
    <row r="15" spans="1:8"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row>
    <row r="16" spans="1:8"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row>
    <row r="17" spans="1:8"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row>
    <row r="18" spans="1:8"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row>
    <row r="19" spans="1:8"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row>
    <row r="20" spans="1:8"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row>
    <row r="21" spans="1:8"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row>
    <row r="22" spans="1:8"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row>
    <row r="23" spans="1:8"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row>
    <row r="24" spans="1:8"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row>
    <row r="25" spans="1:8"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row>
    <row r="26" spans="1:8"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row>
    <row r="27" spans="1:8"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row>
    <row r="28" spans="1:8"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row>
    <row r="29" spans="1:8"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5">
      <c r="A36" s="20" t="s">
        <v>117</v>
      </c>
      <c r="O36" s="20" t="s">
        <v>127</v>
      </c>
      <c r="AB36" s="20" t="s">
        <v>18</v>
      </c>
      <c r="AL36" s="20" t="s">
        <v>21</v>
      </c>
    </row>
    <row r="37" spans="1:47"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89</v>
      </c>
    </row>
    <row r="38" spans="1:47"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73</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88</v>
      </c>
    </row>
    <row r="39" spans="1:47" x14ac:dyDescent="0.25">
      <c r="A39" t="s">
        <v>72</v>
      </c>
      <c r="B39" s="2">
        <f>'Non-Rebalanced Portfolio'!B39</f>
        <v>20000</v>
      </c>
      <c r="C39" s="2">
        <f>'Non-Rebalanced Portfolio'!C39</f>
        <v>30000</v>
      </c>
      <c r="F39" s="2">
        <f>'Non-Rebalanced Portfolio'!F39</f>
        <v>20000</v>
      </c>
      <c r="H39" s="2">
        <f>'Non-Rebalanced Portfolio'!H39</f>
        <v>30000</v>
      </c>
      <c r="I39" s="2">
        <f>SUM(B39:H39)</f>
        <v>100000</v>
      </c>
      <c r="O39" s="21" t="s">
        <v>87</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5">
      <c r="A40">
        <f t="shared" ref="A40:A64" si="4">A4</f>
        <v>1993</v>
      </c>
      <c r="B40" s="2">
        <f>B39*(1+(B4/100))</f>
        <v>21978</v>
      </c>
      <c r="C40" s="2">
        <f>C39*(1+(C4/100))</f>
        <v>34347</v>
      </c>
      <c r="D40" s="2"/>
      <c r="E40" s="2"/>
      <c r="F40" s="2">
        <f>F39*(1+(F4/100))</f>
        <v>26098.799999999999</v>
      </c>
      <c r="G40" s="2"/>
      <c r="H40" s="2">
        <f>H39*(1+(H4/100))</f>
        <v>32904</v>
      </c>
      <c r="I40" s="2">
        <f>SUM(B40:H40)</f>
        <v>115327.8</v>
      </c>
      <c r="J40" s="2">
        <f>I40-I39</f>
        <v>15327.800000000003</v>
      </c>
      <c r="K40" s="6">
        <f>(J40/I39)</f>
        <v>0.15327800000000003</v>
      </c>
      <c r="L40" s="7">
        <f>K40+1</f>
        <v>1.153278</v>
      </c>
      <c r="O40">
        <f>A40</f>
        <v>1993</v>
      </c>
      <c r="P40" s="6">
        <f t="shared" ref="P40:U64" si="5">B40/$I40</f>
        <v>0.19056983658753571</v>
      </c>
      <c r="Q40" s="6">
        <f t="shared" si="5"/>
        <v>0.29782064688652693</v>
      </c>
      <c r="R40" s="7"/>
      <c r="S40" s="7"/>
      <c r="T40" s="6">
        <f t="shared" ref="T40:T46" si="6">F40/$I40</f>
        <v>0.22630103062748097</v>
      </c>
      <c r="U40" s="7"/>
      <c r="V40" s="6">
        <f t="shared" ref="V40:V64" si="7">H40/$I40</f>
        <v>0.28530848589845637</v>
      </c>
      <c r="W40" s="6">
        <f>SUM(P40:V40)</f>
        <v>1</v>
      </c>
      <c r="X40" s="7">
        <f>SUM(P40:U40)</f>
        <v>0.71469151410154363</v>
      </c>
      <c r="Y40" s="7">
        <f>W40-(X40+V40)</f>
        <v>0</v>
      </c>
      <c r="Z40" s="6"/>
      <c r="AB40">
        <f>O40</f>
        <v>1993</v>
      </c>
      <c r="AC40" s="1" t="b">
        <f>AND((B40/$I40)&gt;0.15,(B40/$I40)&lt;0.25)</f>
        <v>1</v>
      </c>
      <c r="AD40" s="1" t="b">
        <f>AND((C40/$I40)&gt;0.25,(C40/$I40)&lt;0.35)</f>
        <v>1</v>
      </c>
      <c r="AG40" s="1" t="b">
        <f t="shared" ref="AG40:AG46" si="8">AND((F40/$I40)&gt;0.15,(F40/$I40)&lt;0.25)</f>
        <v>1</v>
      </c>
      <c r="AI40" s="1" t="b">
        <f>AND((H40/$I40)&gt;0.25,(H40/$I40)&lt;0.35)</f>
        <v>1</v>
      </c>
      <c r="AJ40" s="1" t="b">
        <f>AND((I40/$I40)&gt;0.999,(I40/$I40)&lt;1.01)</f>
        <v>1</v>
      </c>
      <c r="AL40">
        <f>A40</f>
        <v>1993</v>
      </c>
      <c r="AM40" s="2">
        <f t="shared" ref="AM40:AO50" si="9">$I40*AM$39</f>
        <v>23065.56</v>
      </c>
      <c r="AN40" s="2">
        <f t="shared" si="9"/>
        <v>34598.339999999997</v>
      </c>
      <c r="AO40" s="2"/>
      <c r="AP40" s="2"/>
      <c r="AQ40" s="2">
        <f t="shared" ref="AQ40:AR51" si="10">$I40*AQ$39</f>
        <v>23065.56</v>
      </c>
      <c r="AR40" s="2"/>
      <c r="AS40" s="2">
        <f t="shared" ref="AS40:AS51" si="11">$I40*AS$39</f>
        <v>34598.339999999997</v>
      </c>
      <c r="AT40" s="2">
        <f>SUM(AM40:AS40)</f>
        <v>115327.79999999999</v>
      </c>
      <c r="AU40" s="2">
        <f>AT40-I40</f>
        <v>0</v>
      </c>
    </row>
    <row r="41" spans="1:47" x14ac:dyDescent="0.25">
      <c r="A41">
        <f t="shared" si="4"/>
        <v>1994</v>
      </c>
      <c r="B41" s="2">
        <f t="shared" ref="B41:B50" si="12">AM40*(1+(B5/100))</f>
        <v>23337.733608000002</v>
      </c>
      <c r="C41" s="2">
        <f t="shared" ref="C41:C45" si="13">AN40*(1+(C5/100))</f>
        <v>33988.025282399998</v>
      </c>
      <c r="D41" s="2"/>
      <c r="E41" s="2"/>
      <c r="F41" s="2">
        <f t="shared" ref="F41:F43" si="14">AQ40*(1+(F5/100))</f>
        <v>24277.655178000005</v>
      </c>
      <c r="G41" s="2"/>
      <c r="H41" s="2">
        <f t="shared" ref="H41:H64" si="15">AS40*(1+(H5/100))</f>
        <v>33678.024155999999</v>
      </c>
      <c r="I41" s="2">
        <f t="shared" ref="I41:I64" si="16">SUM(B41:H41)</f>
        <v>115281.4382244</v>
      </c>
      <c r="J41" s="2">
        <f t="shared" ref="J41:J64" si="17">I41-I40</f>
        <v>-46.361775600002147</v>
      </c>
      <c r="K41" s="6">
        <f t="shared" ref="K41:K64" si="18">(J41/I40)</f>
        <v>-4.0200000000001861E-4</v>
      </c>
      <c r="L41" s="7">
        <f t="shared" ref="L41:L64" si="19">K41+1</f>
        <v>0.99959799999999999</v>
      </c>
      <c r="O41">
        <f t="shared" ref="O41:O64" si="20">A41</f>
        <v>1994</v>
      </c>
      <c r="P41" s="6">
        <f t="shared" si="5"/>
        <v>0.20244138143533702</v>
      </c>
      <c r="Q41" s="6">
        <f t="shared" si="5"/>
        <v>0.29482652026114498</v>
      </c>
      <c r="R41" s="7"/>
      <c r="S41" s="7"/>
      <c r="T41" s="6">
        <f t="shared" si="6"/>
        <v>0.21059465905293931</v>
      </c>
      <c r="U41" s="7"/>
      <c r="V41" s="6">
        <f t="shared" si="7"/>
        <v>0.29213743925057872</v>
      </c>
      <c r="W41" s="6">
        <f t="shared" ref="W41:W64" si="21">SUM(P41:V41)</f>
        <v>1</v>
      </c>
      <c r="X41" s="7">
        <f t="shared" ref="X41:X64" si="22">SUM(P41:U41)</f>
        <v>0.70786256074942133</v>
      </c>
      <c r="Y41" s="7">
        <f t="shared" ref="Y41:Y64" si="23">W41-(X41+V41)</f>
        <v>0</v>
      </c>
      <c r="Z41" s="6"/>
      <c r="AB41">
        <f t="shared" ref="AB41:AB64" si="24">O41</f>
        <v>1994</v>
      </c>
      <c r="AC41" s="1" t="b">
        <f t="shared" ref="AC41:AC64" si="25">AND((B41/$I41)&gt;0.15,(B41/$I41)&lt;0.25)</f>
        <v>1</v>
      </c>
      <c r="AD41" s="1" t="b">
        <f t="shared" ref="AD41:AD48" si="26">AND((C41/$I41)&gt;0.25,(C41/$I41)&lt;0.35)</f>
        <v>1</v>
      </c>
      <c r="AG41" s="1" t="b">
        <f t="shared" si="8"/>
        <v>1</v>
      </c>
      <c r="AI41" s="1" t="b">
        <f t="shared" ref="AI41:AI64" si="27">AND((H41/$I41)&gt;0.25,(H41/$I41)&lt;0.35)</f>
        <v>1</v>
      </c>
      <c r="AJ41" s="1" t="b">
        <f t="shared" ref="AJ41:AJ64" si="28">AND((I41/$I41)&gt;0.999,(I41/$I41)&lt;1.01)</f>
        <v>1</v>
      </c>
      <c r="AL41">
        <f t="shared" ref="AL41:AL64" si="29">A41</f>
        <v>1994</v>
      </c>
      <c r="AM41" s="2">
        <f t="shared" si="9"/>
        <v>23056.287644880002</v>
      </c>
      <c r="AN41" s="2">
        <f t="shared" si="9"/>
        <v>34584.431467319999</v>
      </c>
      <c r="AO41" s="2"/>
      <c r="AP41" s="2"/>
      <c r="AQ41" s="2">
        <f t="shared" si="10"/>
        <v>23056.287644880002</v>
      </c>
      <c r="AR41" s="2"/>
      <c r="AS41" s="2">
        <f t="shared" si="11"/>
        <v>34584.431467319999</v>
      </c>
      <c r="AT41" s="2">
        <f t="shared" ref="AT41:AT64" si="30">SUM(AM41:AS41)</f>
        <v>115281.4382244</v>
      </c>
      <c r="AU41" s="2">
        <f t="shared" ref="AU41:AU64" si="31">AT41-I41</f>
        <v>0</v>
      </c>
    </row>
    <row r="42" spans="1:47" x14ac:dyDescent="0.25">
      <c r="A42">
        <f t="shared" si="4"/>
        <v>1995</v>
      </c>
      <c r="B42" s="2">
        <f t="shared" si="12"/>
        <v>31690.867367887564</v>
      </c>
      <c r="C42" s="2">
        <f t="shared" si="13"/>
        <v>46272.931770330135</v>
      </c>
      <c r="D42" s="2"/>
      <c r="E42" s="2"/>
      <c r="F42" s="2">
        <f t="shared" si="14"/>
        <v>25280.297151105126</v>
      </c>
      <c r="G42" s="2"/>
      <c r="H42" s="2">
        <f t="shared" si="15"/>
        <v>40871.881108078771</v>
      </c>
      <c r="I42" s="2">
        <f t="shared" ref="I42:I48" si="32">SUM(B42:H42)</f>
        <v>144115.97739740158</v>
      </c>
      <c r="J42" s="2">
        <f t="shared" si="17"/>
        <v>28834.539173001584</v>
      </c>
      <c r="K42" s="6">
        <f t="shared" si="18"/>
        <v>0.25012299999999982</v>
      </c>
      <c r="L42" s="7">
        <f t="shared" si="19"/>
        <v>1.2501229999999999</v>
      </c>
      <c r="O42">
        <f t="shared" si="20"/>
        <v>1995</v>
      </c>
      <c r="P42" s="6">
        <f t="shared" si="5"/>
        <v>0.21989836200117913</v>
      </c>
      <c r="Q42" s="6">
        <f t="shared" si="5"/>
        <v>0.32108120560936804</v>
      </c>
      <c r="R42" s="7"/>
      <c r="S42" s="7"/>
      <c r="T42" s="6">
        <f t="shared" si="6"/>
        <v>0.17541633903223924</v>
      </c>
      <c r="U42" s="7"/>
      <c r="V42" s="6">
        <f t="shared" si="7"/>
        <v>0.28360409335721365</v>
      </c>
      <c r="W42" s="6">
        <f t="shared" si="21"/>
        <v>1</v>
      </c>
      <c r="X42" s="7">
        <f t="shared" si="22"/>
        <v>0.7163959066427863</v>
      </c>
      <c r="Y42" s="7">
        <f t="shared" si="23"/>
        <v>0</v>
      </c>
      <c r="Z42" s="6"/>
      <c r="AB42">
        <f t="shared" si="24"/>
        <v>1995</v>
      </c>
      <c r="AC42" s="1" t="b">
        <f t="shared" si="25"/>
        <v>1</v>
      </c>
      <c r="AD42" s="1" t="b">
        <f t="shared" si="26"/>
        <v>1</v>
      </c>
      <c r="AG42" s="1" t="b">
        <f t="shared" si="8"/>
        <v>1</v>
      </c>
      <c r="AI42" s="1" t="b">
        <f t="shared" si="27"/>
        <v>1</v>
      </c>
      <c r="AJ42" s="1" t="b">
        <f t="shared" si="28"/>
        <v>1</v>
      </c>
      <c r="AL42">
        <f t="shared" si="29"/>
        <v>1995</v>
      </c>
      <c r="AM42" s="2">
        <f t="shared" si="9"/>
        <v>28823.195479480317</v>
      </c>
      <c r="AN42" s="2">
        <f t="shared" si="9"/>
        <v>43234.793219220475</v>
      </c>
      <c r="AO42" s="2"/>
      <c r="AP42" s="2"/>
      <c r="AQ42" s="2">
        <f t="shared" si="10"/>
        <v>28823.195479480317</v>
      </c>
      <c r="AR42" s="2"/>
      <c r="AS42" s="2">
        <f t="shared" si="11"/>
        <v>43234.793219220475</v>
      </c>
      <c r="AT42" s="2">
        <f t="shared" si="30"/>
        <v>144115.97739740158</v>
      </c>
      <c r="AU42" s="2">
        <f t="shared" si="31"/>
        <v>0</v>
      </c>
    </row>
    <row r="43" spans="1:47" x14ac:dyDescent="0.25">
      <c r="A43">
        <f t="shared" si="4"/>
        <v>1996</v>
      </c>
      <c r="B43" s="2">
        <f t="shared" si="12"/>
        <v>35417.942605185417</v>
      </c>
      <c r="C43" s="2">
        <f t="shared" si="13"/>
        <v>50864.43717861631</v>
      </c>
      <c r="D43" s="2"/>
      <c r="E43" s="2"/>
      <c r="F43" s="2">
        <f t="shared" si="14"/>
        <v>31768.637825528411</v>
      </c>
      <c r="G43" s="2"/>
      <c r="H43" s="2">
        <f t="shared" si="15"/>
        <v>44782.59881646857</v>
      </c>
      <c r="I43" s="2">
        <f t="shared" si="32"/>
        <v>162833.61642579871</v>
      </c>
      <c r="J43" s="2">
        <f t="shared" si="17"/>
        <v>18717.639028397127</v>
      </c>
      <c r="K43" s="6">
        <f t="shared" si="18"/>
        <v>0.12987900000000005</v>
      </c>
      <c r="L43" s="7">
        <f t="shared" si="19"/>
        <v>1.1298790000000001</v>
      </c>
      <c r="O43">
        <f t="shared" si="20"/>
        <v>1996</v>
      </c>
      <c r="P43" s="6">
        <f t="shared" si="5"/>
        <v>0.2175100165592953</v>
      </c>
      <c r="Q43" s="6">
        <f t="shared" si="5"/>
        <v>0.31237061667665295</v>
      </c>
      <c r="R43" s="7"/>
      <c r="S43" s="7"/>
      <c r="T43" s="6">
        <f t="shared" si="6"/>
        <v>0.19509876721312636</v>
      </c>
      <c r="U43" s="7"/>
      <c r="V43" s="6">
        <f t="shared" si="7"/>
        <v>0.27502059955092534</v>
      </c>
      <c r="W43" s="6">
        <f t="shared" si="21"/>
        <v>1</v>
      </c>
      <c r="X43" s="7">
        <f t="shared" si="22"/>
        <v>0.72497940044907461</v>
      </c>
      <c r="Y43" s="7">
        <f t="shared" si="23"/>
        <v>0</v>
      </c>
      <c r="Z43" s="6"/>
      <c r="AB43">
        <f t="shared" si="24"/>
        <v>1996</v>
      </c>
      <c r="AC43" s="1" t="b">
        <f t="shared" si="25"/>
        <v>1</v>
      </c>
      <c r="AD43" s="1" t="b">
        <f t="shared" si="26"/>
        <v>1</v>
      </c>
      <c r="AG43" s="1" t="b">
        <f t="shared" si="8"/>
        <v>1</v>
      </c>
      <c r="AI43" s="1" t="b">
        <f t="shared" si="27"/>
        <v>1</v>
      </c>
      <c r="AJ43" s="1" t="b">
        <f t="shared" si="28"/>
        <v>1</v>
      </c>
      <c r="AL43">
        <f t="shared" si="29"/>
        <v>1996</v>
      </c>
      <c r="AM43" s="2">
        <f t="shared" si="9"/>
        <v>32566.723285159744</v>
      </c>
      <c r="AN43" s="2">
        <f t="shared" si="9"/>
        <v>48850.084927739612</v>
      </c>
      <c r="AO43" s="2"/>
      <c r="AP43" s="2"/>
      <c r="AQ43" s="2">
        <f t="shared" si="10"/>
        <v>32566.723285159744</v>
      </c>
      <c r="AR43" s="2"/>
      <c r="AS43" s="2">
        <f t="shared" si="11"/>
        <v>48850.084927739612</v>
      </c>
      <c r="AT43" s="2">
        <f t="shared" si="30"/>
        <v>162833.61642579871</v>
      </c>
      <c r="AU43" s="2">
        <f t="shared" si="31"/>
        <v>0</v>
      </c>
    </row>
    <row r="44" spans="1:47" x14ac:dyDescent="0.25">
      <c r="A44">
        <f t="shared" si="4"/>
        <v>1997</v>
      </c>
      <c r="B44" s="2">
        <f t="shared" si="12"/>
        <v>43375.618743504267</v>
      </c>
      <c r="C44" s="2">
        <f t="shared" si="13"/>
        <v>61886.707092405479</v>
      </c>
      <c r="D44" s="2"/>
      <c r="E44" s="2"/>
      <c r="F44" s="2"/>
      <c r="G44" s="2">
        <f>AQ43*(1+(G8/100))</f>
        <v>32566.723285159744</v>
      </c>
      <c r="H44" s="2">
        <f t="shared" si="15"/>
        <v>53461.532944918232</v>
      </c>
      <c r="I44" s="2">
        <f t="shared" si="32"/>
        <v>191290.58206598772</v>
      </c>
      <c r="J44" s="2">
        <f t="shared" si="17"/>
        <v>28456.96564018901</v>
      </c>
      <c r="K44" s="6">
        <f t="shared" si="18"/>
        <v>0.174761</v>
      </c>
      <c r="L44" s="7">
        <f t="shared" si="19"/>
        <v>1.1747609999999999</v>
      </c>
      <c r="O44">
        <f t="shared" si="20"/>
        <v>1997</v>
      </c>
      <c r="P44" s="6">
        <f t="shared" si="5"/>
        <v>0.22675250540322672</v>
      </c>
      <c r="Q44" s="6">
        <f t="shared" si="5"/>
        <v>0.32352197595936533</v>
      </c>
      <c r="R44" s="7"/>
      <c r="S44" s="7"/>
      <c r="T44" s="84">
        <f t="shared" si="6"/>
        <v>0</v>
      </c>
      <c r="U44" s="7"/>
      <c r="V44" s="6">
        <f t="shared" si="7"/>
        <v>0.27947812363536073</v>
      </c>
      <c r="W44" s="6">
        <f t="shared" si="21"/>
        <v>0.82975260499795278</v>
      </c>
      <c r="X44" s="7">
        <f t="shared" si="22"/>
        <v>0.55027448136259205</v>
      </c>
      <c r="Y44" s="7">
        <f t="shared" si="23"/>
        <v>0</v>
      </c>
      <c r="Z44" s="6"/>
      <c r="AB44">
        <f t="shared" si="24"/>
        <v>1997</v>
      </c>
      <c r="AC44" s="1" t="b">
        <f t="shared" si="25"/>
        <v>1</v>
      </c>
      <c r="AD44" s="1" t="b">
        <f t="shared" si="26"/>
        <v>1</v>
      </c>
      <c r="AG44" s="35" t="b">
        <f t="shared" si="8"/>
        <v>0</v>
      </c>
      <c r="AI44" s="1" t="b">
        <f t="shared" si="27"/>
        <v>1</v>
      </c>
      <c r="AJ44" s="1" t="b">
        <f t="shared" si="28"/>
        <v>1</v>
      </c>
      <c r="AL44">
        <f t="shared" si="29"/>
        <v>1997</v>
      </c>
      <c r="AM44" s="2">
        <f t="shared" si="9"/>
        <v>38258.116413197546</v>
      </c>
      <c r="AN44" s="2">
        <f t="shared" si="9"/>
        <v>57387.174619796315</v>
      </c>
      <c r="AO44" s="2"/>
      <c r="AP44" s="2"/>
      <c r="AQ44" s="2"/>
      <c r="AR44" s="2">
        <f t="shared" si="10"/>
        <v>38258.116413197546</v>
      </c>
      <c r="AS44" s="2">
        <f t="shared" si="11"/>
        <v>57387.174619796315</v>
      </c>
      <c r="AT44" s="2">
        <f t="shared" si="30"/>
        <v>191290.58206598772</v>
      </c>
      <c r="AU44" s="2">
        <f t="shared" si="31"/>
        <v>0</v>
      </c>
    </row>
    <row r="45" spans="1:47" x14ac:dyDescent="0.25">
      <c r="A45">
        <f t="shared" si="4"/>
        <v>1998</v>
      </c>
      <c r="B45" s="2">
        <f t="shared" si="12"/>
        <v>49222.892577219958</v>
      </c>
      <c r="C45" s="2">
        <f t="shared" si="13"/>
        <v>62180.725315787909</v>
      </c>
      <c r="D45" s="2"/>
      <c r="E45" s="2"/>
      <c r="F45" s="2"/>
      <c r="G45" s="2">
        <f t="shared" ref="G45:G64" si="33">AR44*(1+(G9/100))</f>
        <v>38258.116413197546</v>
      </c>
      <c r="H45" s="2">
        <f t="shared" si="15"/>
        <v>62310.994202174843</v>
      </c>
      <c r="I45" s="2">
        <f t="shared" ref="I45" si="34">SUM(B45:H45)</f>
        <v>211972.72850838024</v>
      </c>
      <c r="J45" s="2">
        <f t="shared" si="17"/>
        <v>20682.146442392521</v>
      </c>
      <c r="K45" s="6">
        <f t="shared" si="18"/>
        <v>0.10811899999999997</v>
      </c>
      <c r="L45" s="7">
        <f t="shared" si="19"/>
        <v>1.1081189999999999</v>
      </c>
      <c r="O45">
        <f t="shared" si="20"/>
        <v>1998</v>
      </c>
      <c r="P45" s="6">
        <f t="shared" si="5"/>
        <v>0.23221332726900271</v>
      </c>
      <c r="Q45" s="6">
        <f t="shared" si="5"/>
        <v>0.29334304348179213</v>
      </c>
      <c r="R45" s="7"/>
      <c r="S45" s="7"/>
      <c r="T45" s="6">
        <f t="shared" si="6"/>
        <v>0</v>
      </c>
      <c r="U45" s="7"/>
      <c r="V45" s="6">
        <f t="shared" si="7"/>
        <v>0.29395759841677654</v>
      </c>
      <c r="W45" s="6">
        <f t="shared" si="21"/>
        <v>0.81951396916757147</v>
      </c>
      <c r="X45" s="7">
        <f t="shared" si="22"/>
        <v>0.52555637075079487</v>
      </c>
      <c r="Y45" s="7">
        <f t="shared" si="23"/>
        <v>0</v>
      </c>
      <c r="Z45" s="6"/>
      <c r="AB45">
        <f t="shared" si="24"/>
        <v>1998</v>
      </c>
      <c r="AC45" s="1" t="b">
        <f t="shared" si="25"/>
        <v>1</v>
      </c>
      <c r="AD45" s="1" t="b">
        <f t="shared" si="26"/>
        <v>1</v>
      </c>
      <c r="AG45" s="1" t="b">
        <f t="shared" si="8"/>
        <v>0</v>
      </c>
      <c r="AI45" s="1" t="b">
        <f t="shared" si="27"/>
        <v>1</v>
      </c>
      <c r="AJ45" s="1" t="b">
        <f t="shared" si="28"/>
        <v>1</v>
      </c>
      <c r="AL45">
        <f t="shared" si="29"/>
        <v>1998</v>
      </c>
      <c r="AM45" s="2">
        <f t="shared" si="9"/>
        <v>42394.545701676048</v>
      </c>
      <c r="AN45" s="2">
        <f t="shared" si="9"/>
        <v>63591.818552514073</v>
      </c>
      <c r="AO45" s="2"/>
      <c r="AP45" s="2"/>
      <c r="AQ45" s="2"/>
      <c r="AR45" s="2">
        <f t="shared" si="10"/>
        <v>42394.545701676048</v>
      </c>
      <c r="AS45" s="2">
        <f t="shared" si="11"/>
        <v>63591.818552514073</v>
      </c>
      <c r="AT45" s="2">
        <f t="shared" si="30"/>
        <v>211972.72850838024</v>
      </c>
      <c r="AU45" s="2">
        <f t="shared" si="31"/>
        <v>0</v>
      </c>
    </row>
    <row r="46" spans="1:47" x14ac:dyDescent="0.25">
      <c r="A46">
        <f t="shared" si="4"/>
        <v>1999</v>
      </c>
      <c r="B46" s="2">
        <f t="shared" si="12"/>
        <v>51327.076481019198</v>
      </c>
      <c r="C46" s="2"/>
      <c r="D46" s="2">
        <f>(AN45*0.67)*(1+(D10/100))</f>
        <v>42606.518430184435</v>
      </c>
      <c r="E46" s="2">
        <f>(AN45*0.33)*(1+(E10/100))</f>
        <v>20985.300122329645</v>
      </c>
      <c r="F46" s="2"/>
      <c r="G46" s="2">
        <f t="shared" si="33"/>
        <v>55078.569830160508</v>
      </c>
      <c r="H46" s="2">
        <f t="shared" si="15"/>
        <v>63108.52073151496</v>
      </c>
      <c r="I46" s="2">
        <f t="shared" si="32"/>
        <v>233105.98559520874</v>
      </c>
      <c r="J46" s="2">
        <f t="shared" si="17"/>
        <v>21133.257086828497</v>
      </c>
      <c r="K46" s="6">
        <f t="shared" si="18"/>
        <v>9.9698000000000009E-2</v>
      </c>
      <c r="L46" s="7">
        <f t="shared" si="19"/>
        <v>1.0996980000000001</v>
      </c>
      <c r="O46">
        <f t="shared" si="20"/>
        <v>1999</v>
      </c>
      <c r="P46" s="6">
        <f t="shared" si="5"/>
        <v>0.22018772426611671</v>
      </c>
      <c r="Q46" s="6">
        <f t="shared" si="5"/>
        <v>0</v>
      </c>
      <c r="R46" s="7"/>
      <c r="S46" s="7"/>
      <c r="T46" s="6">
        <f t="shared" si="6"/>
        <v>0</v>
      </c>
      <c r="U46" s="7"/>
      <c r="V46" s="6">
        <f t="shared" si="7"/>
        <v>0.27072887283599678</v>
      </c>
      <c r="W46" s="6">
        <f t="shared" si="21"/>
        <v>0.49091659710211349</v>
      </c>
      <c r="X46" s="7">
        <f t="shared" si="22"/>
        <v>0.22018772426611671</v>
      </c>
      <c r="Y46" s="7">
        <f t="shared" si="23"/>
        <v>0</v>
      </c>
      <c r="Z46" s="6"/>
      <c r="AB46">
        <f t="shared" si="24"/>
        <v>1999</v>
      </c>
      <c r="AC46" s="1" t="b">
        <f t="shared" si="25"/>
        <v>1</v>
      </c>
      <c r="AD46" s="1" t="b">
        <f t="shared" si="26"/>
        <v>0</v>
      </c>
      <c r="AG46" s="1" t="b">
        <f t="shared" si="8"/>
        <v>0</v>
      </c>
      <c r="AI46" s="1" t="b">
        <f t="shared" si="27"/>
        <v>1</v>
      </c>
      <c r="AJ46" s="1" t="b">
        <f t="shared" si="28"/>
        <v>1</v>
      </c>
      <c r="AL46">
        <f t="shared" si="29"/>
        <v>1999</v>
      </c>
      <c r="AM46" s="2">
        <f t="shared" si="9"/>
        <v>46621.197119041753</v>
      </c>
      <c r="AN46" s="2"/>
      <c r="AO46" s="2">
        <f t="shared" si="9"/>
        <v>46621.197119041753</v>
      </c>
      <c r="AP46" s="2">
        <f t="shared" ref="AO46:AP64" si="35">$I46*AP$39</f>
        <v>23310.598559520877</v>
      </c>
      <c r="AQ46" s="2"/>
      <c r="AR46" s="2">
        <f t="shared" si="10"/>
        <v>46621.197119041753</v>
      </c>
      <c r="AS46" s="2">
        <f t="shared" si="11"/>
        <v>69931.795678562616</v>
      </c>
      <c r="AT46" s="2">
        <f t="shared" si="30"/>
        <v>233105.98559520877</v>
      </c>
      <c r="AU46" s="2">
        <f t="shared" si="31"/>
        <v>0</v>
      </c>
    </row>
    <row r="47" spans="1:47" x14ac:dyDescent="0.25">
      <c r="A47">
        <f t="shared" si="4"/>
        <v>2000</v>
      </c>
      <c r="B47" s="2">
        <f t="shared" si="12"/>
        <v>42397.316660056567</v>
      </c>
      <c r="C47" s="2"/>
      <c r="D47" s="2">
        <f t="shared" ref="D47" si="36">AO46*(1+(D11/100))</f>
        <v>55058.701373645927</v>
      </c>
      <c r="E47" s="2">
        <f t="shared" ref="E47" si="37">AP46*(1+(E11/100))</f>
        <v>22689.371107909647</v>
      </c>
      <c r="F47" s="2"/>
      <c r="G47" s="2">
        <f t="shared" si="33"/>
        <v>39341.763400874574</v>
      </c>
      <c r="H47" s="2">
        <f t="shared" si="15"/>
        <v>77897.027206350904</v>
      </c>
      <c r="I47" s="2">
        <f t="shared" si="32"/>
        <v>237384.1797488376</v>
      </c>
      <c r="J47" s="2">
        <f t="shared" si="17"/>
        <v>4278.194153628865</v>
      </c>
      <c r="K47" s="6">
        <f t="shared" si="18"/>
        <v>1.8352999999999994E-2</v>
      </c>
      <c r="L47" s="7">
        <f t="shared" si="19"/>
        <v>1.0183530000000001</v>
      </c>
      <c r="O47">
        <f t="shared" si="20"/>
        <v>2000</v>
      </c>
      <c r="P47" s="6">
        <f t="shared" si="5"/>
        <v>0.1786021153764952</v>
      </c>
      <c r="Q47" s="6">
        <f t="shared" si="5"/>
        <v>0</v>
      </c>
      <c r="R47" s="7"/>
      <c r="S47" s="7"/>
      <c r="T47" s="6"/>
      <c r="U47" s="6">
        <f t="shared" si="5"/>
        <v>0.16573035087047422</v>
      </c>
      <c r="V47" s="6">
        <f t="shared" si="7"/>
        <v>0.32814750877151638</v>
      </c>
      <c r="W47" s="6">
        <f t="shared" si="21"/>
        <v>0.67247997501848578</v>
      </c>
      <c r="X47" s="7">
        <f t="shared" si="22"/>
        <v>0.34433246624696945</v>
      </c>
      <c r="Y47" s="7">
        <f t="shared" si="23"/>
        <v>0</v>
      </c>
      <c r="Z47" s="6"/>
      <c r="AB47">
        <f t="shared" si="24"/>
        <v>2000</v>
      </c>
      <c r="AC47" s="1" t="b">
        <f t="shared" si="25"/>
        <v>1</v>
      </c>
      <c r="AD47" s="1" t="b">
        <f t="shared" si="26"/>
        <v>0</v>
      </c>
      <c r="AG47" s="1"/>
      <c r="AH47" s="1" t="b">
        <f t="shared" ref="AH47:AH64" si="38">AND((G47/$I47)&gt;0.15,(G47/$I47)&lt;0.25)</f>
        <v>1</v>
      </c>
      <c r="AI47" s="1" t="b">
        <f t="shared" si="27"/>
        <v>1</v>
      </c>
      <c r="AJ47" s="1" t="b">
        <f t="shared" si="28"/>
        <v>1</v>
      </c>
      <c r="AL47">
        <f t="shared" si="29"/>
        <v>2000</v>
      </c>
      <c r="AM47" s="2">
        <f t="shared" si="9"/>
        <v>47476.835949767526</v>
      </c>
      <c r="AN47" s="2"/>
      <c r="AO47" s="2">
        <f t="shared" si="9"/>
        <v>47476.835949767526</v>
      </c>
      <c r="AP47" s="2">
        <f t="shared" si="35"/>
        <v>23738.417974883763</v>
      </c>
      <c r="AQ47" s="2"/>
      <c r="AR47" s="2">
        <f t="shared" si="10"/>
        <v>47476.835949767526</v>
      </c>
      <c r="AS47" s="2">
        <f t="shared" si="11"/>
        <v>71215.253924651275</v>
      </c>
      <c r="AT47" s="2">
        <f t="shared" si="30"/>
        <v>237384.17974883763</v>
      </c>
      <c r="AU47" s="2">
        <f t="shared" si="31"/>
        <v>0</v>
      </c>
    </row>
    <row r="48" spans="1:47" x14ac:dyDescent="0.25">
      <c r="A48">
        <f t="shared" si="4"/>
        <v>2001</v>
      </c>
      <c r="B48" s="2">
        <f t="shared" si="12"/>
        <v>41770.120268605468</v>
      </c>
      <c r="C48" s="2"/>
      <c r="D48" s="2">
        <f t="shared" ref="D48:D49" si="39">AO47*(1+(D12/100))</f>
        <v>47239.926538378182</v>
      </c>
      <c r="E48" s="2">
        <f t="shared" ref="E48:E49" si="40">AP47*(1+(E12/100))</f>
        <v>24474.308932105159</v>
      </c>
      <c r="F48" s="2"/>
      <c r="G48" s="2">
        <f t="shared" si="33"/>
        <v>37908.829200810877</v>
      </c>
      <c r="H48" s="2">
        <f t="shared" si="15"/>
        <v>77218.699830499376</v>
      </c>
      <c r="I48" s="2">
        <f t="shared" si="32"/>
        <v>228611.88477039908</v>
      </c>
      <c r="J48" s="2">
        <f t="shared" si="17"/>
        <v>-8772.2949784385273</v>
      </c>
      <c r="K48" s="6">
        <f t="shared" si="18"/>
        <v>-3.6953999999999924E-2</v>
      </c>
      <c r="L48" s="7">
        <f t="shared" si="19"/>
        <v>0.96304600000000007</v>
      </c>
      <c r="O48">
        <f t="shared" si="20"/>
        <v>2001</v>
      </c>
      <c r="P48" s="6">
        <f t="shared" si="5"/>
        <v>0.18271193691682433</v>
      </c>
      <c r="Q48" s="6">
        <f t="shared" si="5"/>
        <v>0</v>
      </c>
      <c r="R48" s="7"/>
      <c r="S48" s="7"/>
      <c r="T48" s="6"/>
      <c r="U48" s="6">
        <f t="shared" si="5"/>
        <v>0.1658217779836062</v>
      </c>
      <c r="V48" s="84">
        <f t="shared" si="7"/>
        <v>0.33777202750439744</v>
      </c>
      <c r="W48" s="6">
        <f t="shared" si="21"/>
        <v>0.686305742404828</v>
      </c>
      <c r="X48" s="7">
        <f t="shared" si="22"/>
        <v>0.3485337149004305</v>
      </c>
      <c r="Y48" s="7">
        <f t="shared" si="23"/>
        <v>0</v>
      </c>
      <c r="Z48" s="6"/>
      <c r="AB48">
        <f t="shared" si="24"/>
        <v>2001</v>
      </c>
      <c r="AC48" s="1" t="b">
        <f t="shared" si="25"/>
        <v>1</v>
      </c>
      <c r="AD48" s="1" t="b">
        <f t="shared" si="26"/>
        <v>0</v>
      </c>
      <c r="AG48" s="1"/>
      <c r="AH48" s="1" t="b">
        <f t="shared" si="38"/>
        <v>1</v>
      </c>
      <c r="AI48" s="35" t="b">
        <f t="shared" si="27"/>
        <v>1</v>
      </c>
      <c r="AJ48" s="1" t="b">
        <f t="shared" si="28"/>
        <v>1</v>
      </c>
      <c r="AL48">
        <f t="shared" si="29"/>
        <v>2001</v>
      </c>
      <c r="AM48" s="2">
        <f t="shared" si="9"/>
        <v>45722.376954079817</v>
      </c>
      <c r="AN48" s="2"/>
      <c r="AO48" s="2">
        <f t="shared" si="35"/>
        <v>45722.376954079817</v>
      </c>
      <c r="AP48" s="2">
        <f t="shared" si="35"/>
        <v>22861.188477039908</v>
      </c>
      <c r="AQ48" s="2"/>
      <c r="AR48" s="2">
        <f t="shared" si="10"/>
        <v>45722.376954079817</v>
      </c>
      <c r="AS48" s="2">
        <f t="shared" si="11"/>
        <v>68583.565431119714</v>
      </c>
      <c r="AT48" s="2">
        <f t="shared" si="30"/>
        <v>228611.88477039908</v>
      </c>
      <c r="AU48" s="2">
        <f t="shared" si="31"/>
        <v>0</v>
      </c>
    </row>
    <row r="49" spans="1:47" x14ac:dyDescent="0.25">
      <c r="A49">
        <f t="shared" si="4"/>
        <v>2002</v>
      </c>
      <c r="B49" s="2">
        <f t="shared" si="12"/>
        <v>35594.870458751138</v>
      </c>
      <c r="C49" s="2"/>
      <c r="D49" s="2">
        <f t="shared" si="39"/>
        <v>39043.252128627835</v>
      </c>
      <c r="E49" s="2">
        <f t="shared" si="40"/>
        <v>18283.921320166977</v>
      </c>
      <c r="F49" s="2"/>
      <c r="G49" s="2">
        <f t="shared" si="33"/>
        <v>38826.070838095955</v>
      </c>
      <c r="H49" s="2">
        <f t="shared" si="15"/>
        <v>74248.5679357302</v>
      </c>
      <c r="I49" s="2">
        <f t="shared" si="16"/>
        <v>205996.6826813721</v>
      </c>
      <c r="J49" s="2">
        <f t="shared" si="17"/>
        <v>-22615.202089026978</v>
      </c>
      <c r="K49" s="6">
        <f t="shared" si="18"/>
        <v>-9.8924000000000081E-2</v>
      </c>
      <c r="L49" s="7">
        <f t="shared" si="19"/>
        <v>0.90107599999999988</v>
      </c>
      <c r="O49">
        <f t="shared" si="20"/>
        <v>2002</v>
      </c>
      <c r="P49" s="6">
        <f t="shared" si="5"/>
        <v>0.1727934158716912</v>
      </c>
      <c r="Q49" s="6"/>
      <c r="R49" s="6">
        <f t="shared" ref="R49" si="41">D49/$I49</f>
        <v>0.18953340228793134</v>
      </c>
      <c r="S49" s="6">
        <f t="shared" ref="S49" si="42">E49/$I49</f>
        <v>8.8758328931188943E-2</v>
      </c>
      <c r="T49" s="6"/>
      <c r="U49" s="6">
        <f t="shared" si="5"/>
        <v>0.18847910720072447</v>
      </c>
      <c r="V49" s="6">
        <f t="shared" si="7"/>
        <v>0.36043574570846409</v>
      </c>
      <c r="W49" s="6">
        <f t="shared" si="21"/>
        <v>1</v>
      </c>
      <c r="X49" s="7">
        <f t="shared" si="22"/>
        <v>0.63956425429153596</v>
      </c>
      <c r="Y49" s="7">
        <f t="shared" si="23"/>
        <v>0</v>
      </c>
      <c r="Z49" s="6"/>
      <c r="AB49">
        <f t="shared" si="24"/>
        <v>2002</v>
      </c>
      <c r="AC49" s="1" t="b">
        <f t="shared" si="25"/>
        <v>1</v>
      </c>
      <c r="AD49" s="1"/>
      <c r="AE49" s="1" t="b">
        <f t="shared" ref="AE49:AE50" si="43">AND((D49/$I49)&gt;0.15,(D49/$I49)&lt;0.25)</f>
        <v>1</v>
      </c>
      <c r="AF49" s="1" t="b">
        <f t="shared" ref="AF49:AF50" si="44">AND((E49/$I49)&gt;0.05,(E49/$I49)&lt;0.15)</f>
        <v>1</v>
      </c>
      <c r="AG49" s="1"/>
      <c r="AH49" s="1" t="b">
        <f t="shared" si="38"/>
        <v>1</v>
      </c>
      <c r="AI49" s="1" t="b">
        <f t="shared" si="27"/>
        <v>0</v>
      </c>
      <c r="AJ49" s="1" t="b">
        <f t="shared" si="28"/>
        <v>1</v>
      </c>
      <c r="AL49">
        <f t="shared" si="29"/>
        <v>2002</v>
      </c>
      <c r="AM49" s="2">
        <f t="shared" si="9"/>
        <v>41199.336536274423</v>
      </c>
      <c r="AN49" s="2"/>
      <c r="AO49" s="2">
        <f t="shared" si="35"/>
        <v>41199.336536274423</v>
      </c>
      <c r="AP49" s="2">
        <f t="shared" si="35"/>
        <v>20599.668268137211</v>
      </c>
      <c r="AQ49" s="2"/>
      <c r="AR49" s="2">
        <f t="shared" si="10"/>
        <v>41199.336536274423</v>
      </c>
      <c r="AS49" s="2">
        <f t="shared" si="11"/>
        <v>61799.004804411627</v>
      </c>
      <c r="AT49" s="2">
        <f t="shared" si="30"/>
        <v>205996.6826813721</v>
      </c>
      <c r="AU49" s="2">
        <f t="shared" si="31"/>
        <v>0</v>
      </c>
    </row>
    <row r="50" spans="1:47" x14ac:dyDescent="0.25">
      <c r="A50">
        <f t="shared" si="4"/>
        <v>2003</v>
      </c>
      <c r="B50" s="2">
        <f t="shared" si="12"/>
        <v>52941.147449112628</v>
      </c>
      <c r="C50" s="2"/>
      <c r="D50" s="2">
        <f t="shared" ref="D50:D51" si="45">AO49*(1+(D14/100))</f>
        <v>55265.614016489235</v>
      </c>
      <c r="E50" s="2">
        <f t="shared" ref="E50:E51" si="46">AP49*(1+(E14/100))</f>
        <v>29998.88490552286</v>
      </c>
      <c r="F50" s="2"/>
      <c r="G50" s="2">
        <f t="shared" si="33"/>
        <v>57819.148895007522</v>
      </c>
      <c r="H50" s="2">
        <f t="shared" si="15"/>
        <v>64252.425295146772</v>
      </c>
      <c r="I50" s="2">
        <f t="shared" si="16"/>
        <v>260277.22056127901</v>
      </c>
      <c r="J50" s="2">
        <f t="shared" si="17"/>
        <v>54280.537879906915</v>
      </c>
      <c r="K50" s="6">
        <f t="shared" si="18"/>
        <v>0.26350200000000001</v>
      </c>
      <c r="L50" s="7">
        <f t="shared" si="19"/>
        <v>1.2635019999999999</v>
      </c>
      <c r="O50">
        <f t="shared" si="20"/>
        <v>2003</v>
      </c>
      <c r="P50" s="84">
        <f t="shared" si="5"/>
        <v>0.20340292298706295</v>
      </c>
      <c r="Q50" s="6"/>
      <c r="R50" s="6">
        <f t="shared" ref="R50" si="47">D50/$I50</f>
        <v>0.21233365677300076</v>
      </c>
      <c r="S50" s="6">
        <f t="shared" ref="S50" si="48">E50/$I50</f>
        <v>0.11525743528700391</v>
      </c>
      <c r="T50" s="7"/>
      <c r="U50" s="6">
        <f t="shared" si="5"/>
        <v>0.22214448414011218</v>
      </c>
      <c r="V50" s="6">
        <f t="shared" si="7"/>
        <v>0.24686150081282024</v>
      </c>
      <c r="W50" s="6">
        <f t="shared" si="21"/>
        <v>1.0000000000000002</v>
      </c>
      <c r="X50" s="7">
        <f t="shared" si="22"/>
        <v>0.7531384991871799</v>
      </c>
      <c r="Y50" s="7">
        <f t="shared" si="23"/>
        <v>0</v>
      </c>
      <c r="Z50" s="6"/>
      <c r="AB50">
        <f t="shared" si="24"/>
        <v>2003</v>
      </c>
      <c r="AC50" s="1" t="b">
        <f t="shared" si="25"/>
        <v>1</v>
      </c>
      <c r="AD50" s="1"/>
      <c r="AE50" s="1" t="b">
        <f t="shared" si="43"/>
        <v>1</v>
      </c>
      <c r="AF50" s="1" t="b">
        <f t="shared" si="44"/>
        <v>1</v>
      </c>
      <c r="AH50" s="1" t="b">
        <f t="shared" si="38"/>
        <v>1</v>
      </c>
      <c r="AI50" s="1" t="b">
        <f t="shared" si="27"/>
        <v>0</v>
      </c>
      <c r="AJ50" s="1" t="b">
        <f t="shared" si="28"/>
        <v>1</v>
      </c>
      <c r="AL50">
        <f t="shared" si="29"/>
        <v>2003</v>
      </c>
      <c r="AM50" s="2">
        <f t="shared" si="9"/>
        <v>52055.444112255806</v>
      </c>
      <c r="AN50" s="2"/>
      <c r="AO50" s="2">
        <f t="shared" si="35"/>
        <v>52055.444112255806</v>
      </c>
      <c r="AP50" s="2">
        <f t="shared" si="35"/>
        <v>26027.722056127903</v>
      </c>
      <c r="AQ50" s="2"/>
      <c r="AR50" s="2">
        <f t="shared" si="10"/>
        <v>52055.444112255806</v>
      </c>
      <c r="AS50" s="2">
        <f t="shared" si="11"/>
        <v>78083.166168383701</v>
      </c>
      <c r="AT50" s="2">
        <f t="shared" si="30"/>
        <v>260277.22056127901</v>
      </c>
      <c r="AU50" s="2">
        <f t="shared" si="31"/>
        <v>0</v>
      </c>
    </row>
    <row r="51" spans="1:47" x14ac:dyDescent="0.25">
      <c r="A51">
        <f t="shared" si="4"/>
        <v>2004</v>
      </c>
      <c r="B51" s="2">
        <f t="shared" ref="B51:B64" si="49">AM50*(1+(B15/100))</f>
        <v>57646.198809912079</v>
      </c>
      <c r="C51" s="2"/>
      <c r="D51" s="2">
        <f t="shared" si="45"/>
        <v>62650.288652423231</v>
      </c>
      <c r="E51" s="2">
        <f t="shared" si="46"/>
        <v>31206.457913635673</v>
      </c>
      <c r="F51" s="2"/>
      <c r="G51" s="2">
        <f t="shared" si="33"/>
        <v>62902.237001926544</v>
      </c>
      <c r="H51" s="2">
        <f t="shared" si="15"/>
        <v>81393.892413923168</v>
      </c>
      <c r="I51" s="2">
        <f t="shared" si="16"/>
        <v>295799.07479182072</v>
      </c>
      <c r="J51" s="2">
        <f t="shared" si="17"/>
        <v>35521.854230541707</v>
      </c>
      <c r="K51" s="6">
        <f t="shared" si="18"/>
        <v>0.13647700000000013</v>
      </c>
      <c r="L51" s="7">
        <f t="shared" si="19"/>
        <v>1.1364770000000002</v>
      </c>
      <c r="O51">
        <f t="shared" si="20"/>
        <v>2004</v>
      </c>
      <c r="P51" s="6">
        <f t="shared" si="5"/>
        <v>0.19488295847606241</v>
      </c>
      <c r="Q51" s="7"/>
      <c r="R51" s="6">
        <f t="shared" si="5"/>
        <v>0.2118001508169545</v>
      </c>
      <c r="S51" s="6">
        <f t="shared" si="5"/>
        <v>0.10549883543617689</v>
      </c>
      <c r="T51" s="7"/>
      <c r="U51" s="6">
        <f t="shared" si="5"/>
        <v>0.21265190584587279</v>
      </c>
      <c r="V51" s="6">
        <f t="shared" si="7"/>
        <v>0.27516614942493334</v>
      </c>
      <c r="W51" s="6">
        <f t="shared" si="21"/>
        <v>0.99999999999999989</v>
      </c>
      <c r="X51" s="7">
        <f t="shared" si="22"/>
        <v>0.72483385057506655</v>
      </c>
      <c r="Y51" s="7">
        <f t="shared" si="23"/>
        <v>0</v>
      </c>
      <c r="Z51" s="6"/>
      <c r="AB51">
        <f t="shared" si="24"/>
        <v>2004</v>
      </c>
      <c r="AC51" s="1" t="b">
        <f t="shared" si="25"/>
        <v>1</v>
      </c>
      <c r="AE51" s="1" t="b">
        <f>AND((D51/$I51)&gt;0.15,(D51/$I51)&lt;0.25)</f>
        <v>1</v>
      </c>
      <c r="AF51" s="1" t="b">
        <f>AND((E51/$I51)&gt;0.05,(E51/$I51)&lt;0.15)</f>
        <v>1</v>
      </c>
      <c r="AH51" s="1" t="b">
        <f t="shared" si="38"/>
        <v>1</v>
      </c>
      <c r="AI51" s="1" t="b">
        <f t="shared" si="27"/>
        <v>1</v>
      </c>
      <c r="AJ51" s="1" t="b">
        <f t="shared" si="28"/>
        <v>1</v>
      </c>
      <c r="AL51">
        <f t="shared" si="29"/>
        <v>2004</v>
      </c>
      <c r="AM51" s="2">
        <f>$I51*AM$39</f>
        <v>59159.81495836415</v>
      </c>
      <c r="AN51" s="2"/>
      <c r="AO51" s="2">
        <f t="shared" si="35"/>
        <v>59159.81495836415</v>
      </c>
      <c r="AP51" s="2">
        <f t="shared" si="35"/>
        <v>29579.907479182075</v>
      </c>
      <c r="AQ51" s="2"/>
      <c r="AR51" s="2">
        <f t="shared" si="10"/>
        <v>59159.81495836415</v>
      </c>
      <c r="AS51" s="2">
        <f t="shared" si="11"/>
        <v>88739.72243754621</v>
      </c>
      <c r="AT51" s="2">
        <f t="shared" si="30"/>
        <v>295799.07479182072</v>
      </c>
      <c r="AU51" s="2">
        <f t="shared" si="31"/>
        <v>0</v>
      </c>
    </row>
    <row r="52" spans="1:47" x14ac:dyDescent="0.25">
      <c r="A52">
        <f t="shared" si="4"/>
        <v>2005</v>
      </c>
      <c r="B52" s="2">
        <f t="shared" si="49"/>
        <v>61981.738131878126</v>
      </c>
      <c r="C52" s="2"/>
      <c r="D52" s="2">
        <f t="shared" ref="D52:D64" si="50">AO51*(1+(D16/100))</f>
        <v>67401.368780213859</v>
      </c>
      <c r="E52" s="2">
        <f t="shared" ref="E52:E64" si="51">AP51*(1+(E16/100))</f>
        <v>31757.876066874254</v>
      </c>
      <c r="F52" s="2"/>
      <c r="G52" s="2">
        <f t="shared" si="33"/>
        <v>68371.589745531033</v>
      </c>
      <c r="H52" s="2">
        <f t="shared" si="15"/>
        <v>90869.475776047315</v>
      </c>
      <c r="I52" s="2">
        <f t="shared" si="16"/>
        <v>320382.04850054457</v>
      </c>
      <c r="J52" s="2">
        <f t="shared" si="17"/>
        <v>24582.973708723846</v>
      </c>
      <c r="K52" s="6">
        <f t="shared" si="18"/>
        <v>8.3107E-2</v>
      </c>
      <c r="L52" s="7">
        <f t="shared" si="19"/>
        <v>1.083107</v>
      </c>
      <c r="O52">
        <f t="shared" si="20"/>
        <v>2005</v>
      </c>
      <c r="P52" s="6">
        <f t="shared" si="5"/>
        <v>0.19346195712888942</v>
      </c>
      <c r="Q52" s="7"/>
      <c r="R52" s="6">
        <f t="shared" si="5"/>
        <v>0.21037810668752027</v>
      </c>
      <c r="S52" s="84">
        <f t="shared" si="5"/>
        <v>9.9125017195900333E-2</v>
      </c>
      <c r="T52" s="7"/>
      <c r="U52" s="6">
        <f t="shared" si="5"/>
        <v>0.2134064316821884</v>
      </c>
      <c r="V52" s="6">
        <f t="shared" si="7"/>
        <v>0.28362848730550166</v>
      </c>
      <c r="W52" s="6">
        <f t="shared" si="21"/>
        <v>1.0000000000000002</v>
      </c>
      <c r="X52" s="7">
        <f t="shared" si="22"/>
        <v>0.7163715126944985</v>
      </c>
      <c r="Y52" s="7">
        <f t="shared" si="23"/>
        <v>0</v>
      </c>
      <c r="Z52" s="6"/>
      <c r="AB52">
        <f t="shared" si="24"/>
        <v>2005</v>
      </c>
      <c r="AC52" s="1" t="b">
        <f t="shared" si="25"/>
        <v>1</v>
      </c>
      <c r="AE52" s="1" t="b">
        <f t="shared" ref="AE52:AE64" si="52">AND((D52/$I52)&gt;0.15,(D52/$I52)&lt;0.25)</f>
        <v>1</v>
      </c>
      <c r="AF52" s="1" t="b">
        <f t="shared" ref="AF52:AF64" si="53">AND((E52/$I52)&gt;0.05,(E52/$I52)&lt;0.15)</f>
        <v>1</v>
      </c>
      <c r="AH52" s="1" t="b">
        <f t="shared" si="38"/>
        <v>1</v>
      </c>
      <c r="AI52" s="39" t="b">
        <f t="shared" si="27"/>
        <v>1</v>
      </c>
      <c r="AJ52" s="1" t="b">
        <f t="shared" si="28"/>
        <v>1</v>
      </c>
      <c r="AL52">
        <f t="shared" si="29"/>
        <v>2005</v>
      </c>
      <c r="AM52" s="2">
        <f t="shared" ref="AM52:AM64" si="54">$I52*AM$39</f>
        <v>64076.409700108918</v>
      </c>
      <c r="AN52" s="2"/>
      <c r="AO52" s="2">
        <f t="shared" si="35"/>
        <v>64076.409700108918</v>
      </c>
      <c r="AP52" s="2">
        <f t="shared" si="35"/>
        <v>32038.204850054459</v>
      </c>
      <c r="AQ52" s="2"/>
      <c r="AR52" s="2">
        <f t="shared" ref="AR52:AS64" si="55">$I52*AR$39</f>
        <v>64076.409700108918</v>
      </c>
      <c r="AS52" s="2">
        <f t="shared" si="55"/>
        <v>96114.614550163373</v>
      </c>
      <c r="AT52" s="2">
        <f t="shared" si="30"/>
        <v>320382.04850054457</v>
      </c>
      <c r="AU52" s="2">
        <f t="shared" si="31"/>
        <v>0</v>
      </c>
    </row>
    <row r="53" spans="1:47" x14ac:dyDescent="0.25">
      <c r="A53">
        <f t="shared" si="4"/>
        <v>2006</v>
      </c>
      <c r="B53" s="2">
        <f t="shared" si="49"/>
        <v>74097.960177205954</v>
      </c>
      <c r="C53" s="2"/>
      <c r="D53" s="2">
        <f t="shared" si="50"/>
        <v>72788.87912703272</v>
      </c>
      <c r="E53" s="2">
        <f t="shared" si="51"/>
        <v>37054.106201378985</v>
      </c>
      <c r="F53" s="2"/>
      <c r="G53" s="2">
        <f t="shared" si="33"/>
        <v>81144.442951926932</v>
      </c>
      <c r="H53" s="2">
        <f t="shared" si="15"/>
        <v>100218.70859145535</v>
      </c>
      <c r="I53" s="2">
        <f t="shared" si="16"/>
        <v>365304.09704899997</v>
      </c>
      <c r="J53" s="2">
        <f t="shared" si="17"/>
        <v>44922.048548455408</v>
      </c>
      <c r="K53" s="6">
        <f t="shared" si="18"/>
        <v>0.14021400000000017</v>
      </c>
      <c r="L53" s="7">
        <f t="shared" si="19"/>
        <v>1.1402140000000003</v>
      </c>
      <c r="O53">
        <f t="shared" si="20"/>
        <v>2006</v>
      </c>
      <c r="P53" s="6">
        <f t="shared" si="5"/>
        <v>0.20283911616591271</v>
      </c>
      <c r="Q53" s="7"/>
      <c r="R53" s="6">
        <f t="shared" si="5"/>
        <v>0.19925557833880303</v>
      </c>
      <c r="S53" s="6">
        <f t="shared" si="5"/>
        <v>0.10143359053651331</v>
      </c>
      <c r="T53" s="7"/>
      <c r="U53" s="6">
        <f t="shared" si="5"/>
        <v>0.22212847763665416</v>
      </c>
      <c r="V53" s="84">
        <f t="shared" si="7"/>
        <v>0.27434323732211668</v>
      </c>
      <c r="W53" s="6">
        <f t="shared" si="21"/>
        <v>0.99999999999999978</v>
      </c>
      <c r="X53" s="7">
        <f t="shared" si="22"/>
        <v>0.72565676267788315</v>
      </c>
      <c r="Y53" s="7">
        <f t="shared" si="23"/>
        <v>0</v>
      </c>
      <c r="Z53" s="6"/>
      <c r="AB53">
        <f t="shared" si="24"/>
        <v>2006</v>
      </c>
      <c r="AC53" s="1" t="b">
        <f t="shared" si="25"/>
        <v>1</v>
      </c>
      <c r="AE53" s="1" t="b">
        <f t="shared" si="52"/>
        <v>1</v>
      </c>
      <c r="AF53" s="1" t="b">
        <f t="shared" si="53"/>
        <v>1</v>
      </c>
      <c r="AH53" s="1" t="b">
        <f t="shared" si="38"/>
        <v>1</v>
      </c>
      <c r="AI53" s="1" t="b">
        <f t="shared" si="27"/>
        <v>1</v>
      </c>
      <c r="AJ53" s="1" t="b">
        <f t="shared" si="28"/>
        <v>1</v>
      </c>
      <c r="AL53">
        <f t="shared" si="29"/>
        <v>2006</v>
      </c>
      <c r="AM53" s="2">
        <f t="shared" si="54"/>
        <v>73060.819409799995</v>
      </c>
      <c r="AN53" s="2"/>
      <c r="AO53" s="2">
        <f t="shared" si="35"/>
        <v>73060.819409799995</v>
      </c>
      <c r="AP53" s="2">
        <f t="shared" si="35"/>
        <v>36530.409704899997</v>
      </c>
      <c r="AQ53" s="2"/>
      <c r="AR53" s="2">
        <f t="shared" si="55"/>
        <v>73060.819409799995</v>
      </c>
      <c r="AS53" s="2">
        <f t="shared" si="55"/>
        <v>109591.22911469999</v>
      </c>
      <c r="AT53" s="2">
        <f t="shared" si="30"/>
        <v>365304.09704899997</v>
      </c>
      <c r="AU53" s="2">
        <f t="shared" si="31"/>
        <v>0</v>
      </c>
    </row>
    <row r="54" spans="1:47" x14ac:dyDescent="0.25">
      <c r="A54">
        <f t="shared" si="4"/>
        <v>2007</v>
      </c>
      <c r="B54" s="2">
        <f t="shared" si="49"/>
        <v>76998.797575988225</v>
      </c>
      <c r="C54" s="2"/>
      <c r="D54" s="2">
        <f t="shared" si="50"/>
        <v>77459.811346464063</v>
      </c>
      <c r="E54" s="2">
        <f t="shared" si="51"/>
        <v>36952.701241088645</v>
      </c>
      <c r="F54" s="2"/>
      <c r="G54" s="2">
        <f t="shared" si="33"/>
        <v>84401.319798589146</v>
      </c>
      <c r="H54" s="2">
        <f t="shared" si="15"/>
        <v>117174.94216943723</v>
      </c>
      <c r="I54" s="2">
        <f t="shared" si="16"/>
        <v>392987.57213156734</v>
      </c>
      <c r="J54" s="2">
        <f t="shared" si="17"/>
        <v>27683.475082567369</v>
      </c>
      <c r="K54" s="6">
        <f t="shared" si="18"/>
        <v>7.5782000000000141E-2</v>
      </c>
      <c r="L54" s="7">
        <f t="shared" si="19"/>
        <v>1.0757820000000002</v>
      </c>
      <c r="O54">
        <f t="shared" si="20"/>
        <v>2007</v>
      </c>
      <c r="P54" s="84">
        <f t="shared" si="5"/>
        <v>0.19593188954639509</v>
      </c>
      <c r="Q54" s="7"/>
      <c r="R54" s="6">
        <f t="shared" si="5"/>
        <v>0.19710498967262885</v>
      </c>
      <c r="S54" s="6">
        <f t="shared" si="5"/>
        <v>9.4030203145246891E-2</v>
      </c>
      <c r="T54" s="7"/>
      <c r="U54" s="84">
        <f t="shared" si="5"/>
        <v>0.21476841962405019</v>
      </c>
      <c r="V54" s="84">
        <f t="shared" si="7"/>
        <v>0.29816449801167888</v>
      </c>
      <c r="W54" s="6">
        <f t="shared" si="21"/>
        <v>1</v>
      </c>
      <c r="X54" s="7">
        <f t="shared" si="22"/>
        <v>0.70183550198832112</v>
      </c>
      <c r="Y54" s="7">
        <f t="shared" si="23"/>
        <v>0</v>
      </c>
      <c r="Z54" s="6"/>
      <c r="AB54">
        <f t="shared" si="24"/>
        <v>2007</v>
      </c>
      <c r="AC54" s="39" t="b">
        <f t="shared" si="25"/>
        <v>1</v>
      </c>
      <c r="AE54" s="1" t="b">
        <f t="shared" si="52"/>
        <v>1</v>
      </c>
      <c r="AF54" s="1" t="b">
        <f t="shared" si="53"/>
        <v>1</v>
      </c>
      <c r="AH54" s="39" t="b">
        <f t="shared" si="38"/>
        <v>1</v>
      </c>
      <c r="AI54" s="39" t="b">
        <f t="shared" si="27"/>
        <v>1</v>
      </c>
      <c r="AJ54" s="1" t="b">
        <f t="shared" si="28"/>
        <v>1</v>
      </c>
      <c r="AL54">
        <f t="shared" si="29"/>
        <v>2007</v>
      </c>
      <c r="AM54" s="2">
        <f t="shared" si="54"/>
        <v>78597.514426313472</v>
      </c>
      <c r="AN54" s="2"/>
      <c r="AO54" s="2">
        <f t="shared" si="35"/>
        <v>78597.514426313472</v>
      </c>
      <c r="AP54" s="2">
        <f t="shared" si="35"/>
        <v>39298.757213156736</v>
      </c>
      <c r="AQ54" s="2"/>
      <c r="AR54" s="2">
        <f t="shared" si="55"/>
        <v>78597.514426313472</v>
      </c>
      <c r="AS54" s="2">
        <f t="shared" si="55"/>
        <v>117896.2716394702</v>
      </c>
      <c r="AT54" s="2">
        <f t="shared" si="30"/>
        <v>392987.57213156734</v>
      </c>
      <c r="AU54" s="2">
        <f t="shared" si="31"/>
        <v>0</v>
      </c>
    </row>
    <row r="55" spans="1:47" x14ac:dyDescent="0.25">
      <c r="A55">
        <f t="shared" si="4"/>
        <v>2008</v>
      </c>
      <c r="B55" s="2">
        <f t="shared" si="49"/>
        <v>49500.714585692214</v>
      </c>
      <c r="C55" s="2"/>
      <c r="D55" s="2">
        <f t="shared" si="50"/>
        <v>45724.889992652126</v>
      </c>
      <c r="E55" s="2">
        <f t="shared" si="51"/>
        <v>25123.6954863711</v>
      </c>
      <c r="F55" s="2"/>
      <c r="G55" s="2">
        <f t="shared" si="33"/>
        <v>43935.224589164965</v>
      </c>
      <c r="H55" s="2">
        <f t="shared" si="15"/>
        <v>123850.03335726344</v>
      </c>
      <c r="I55" s="2">
        <f t="shared" si="16"/>
        <v>288134.55801114382</v>
      </c>
      <c r="J55" s="2">
        <f t="shared" si="17"/>
        <v>-104853.01412042353</v>
      </c>
      <c r="K55" s="6">
        <f t="shared" si="18"/>
        <v>-0.2668100000000001</v>
      </c>
      <c r="L55" s="7">
        <f t="shared" si="19"/>
        <v>0.7331899999999999</v>
      </c>
      <c r="O55">
        <f t="shared" si="20"/>
        <v>2008</v>
      </c>
      <c r="P55" s="6">
        <f t="shared" si="5"/>
        <v>0.17179721491018698</v>
      </c>
      <c r="Q55" s="7"/>
      <c r="R55" s="6">
        <f t="shared" si="5"/>
        <v>0.15869283541783169</v>
      </c>
      <c r="S55" s="6">
        <f t="shared" si="5"/>
        <v>8.7194315252526647E-2</v>
      </c>
      <c r="T55" s="7"/>
      <c r="U55" s="6">
        <f t="shared" si="5"/>
        <v>0.15248162140782065</v>
      </c>
      <c r="V55" s="38">
        <f t="shared" si="7"/>
        <v>0.42983401301163415</v>
      </c>
      <c r="W55" s="6">
        <f t="shared" si="21"/>
        <v>1</v>
      </c>
      <c r="X55" s="7">
        <f t="shared" si="22"/>
        <v>0.57016598698836596</v>
      </c>
      <c r="Y55" s="7">
        <f t="shared" si="23"/>
        <v>0</v>
      </c>
      <c r="Z55" s="6"/>
      <c r="AB55">
        <f t="shared" si="24"/>
        <v>2008</v>
      </c>
      <c r="AC55" s="1" t="b">
        <f t="shared" si="25"/>
        <v>1</v>
      </c>
      <c r="AE55" s="1" t="b">
        <f t="shared" si="52"/>
        <v>1</v>
      </c>
      <c r="AF55" s="1" t="b">
        <f t="shared" si="53"/>
        <v>1</v>
      </c>
      <c r="AH55" s="1" t="b">
        <f t="shared" si="38"/>
        <v>1</v>
      </c>
      <c r="AI55" s="39" t="b">
        <f t="shared" si="27"/>
        <v>0</v>
      </c>
      <c r="AJ55" s="1" t="b">
        <f t="shared" si="28"/>
        <v>1</v>
      </c>
      <c r="AL55">
        <f t="shared" si="29"/>
        <v>2008</v>
      </c>
      <c r="AM55" s="2">
        <f t="shared" si="54"/>
        <v>57626.911602228764</v>
      </c>
      <c r="AN55" s="2"/>
      <c r="AO55" s="2">
        <f t="shared" si="35"/>
        <v>57626.911602228764</v>
      </c>
      <c r="AP55" s="2">
        <f t="shared" si="35"/>
        <v>28813.455801114382</v>
      </c>
      <c r="AQ55" s="2"/>
      <c r="AR55" s="2">
        <f t="shared" si="55"/>
        <v>57626.911602228764</v>
      </c>
      <c r="AS55" s="2">
        <f t="shared" si="55"/>
        <v>86440.367403343145</v>
      </c>
      <c r="AT55" s="2">
        <f t="shared" si="30"/>
        <v>288134.55801114382</v>
      </c>
      <c r="AU55" s="2">
        <f t="shared" si="31"/>
        <v>0</v>
      </c>
    </row>
    <row r="56" spans="1:47" x14ac:dyDescent="0.25">
      <c r="A56">
        <f t="shared" si="4"/>
        <v>2009</v>
      </c>
      <c r="B56" s="2">
        <f t="shared" si="49"/>
        <v>72892.280485659154</v>
      </c>
      <c r="C56" s="2"/>
      <c r="D56" s="2">
        <f t="shared" si="50"/>
        <v>80803.302910413127</v>
      </c>
      <c r="E56" s="2">
        <f t="shared" si="51"/>
        <v>39220.299767360877</v>
      </c>
      <c r="F56" s="2"/>
      <c r="G56" s="2">
        <f t="shared" si="33"/>
        <v>78791.547426379315</v>
      </c>
      <c r="H56" s="2">
        <f t="shared" si="15"/>
        <v>91566.281190361391</v>
      </c>
      <c r="I56" s="2">
        <f t="shared" si="16"/>
        <v>363273.71178017382</v>
      </c>
      <c r="J56" s="2">
        <f>I56-I55</f>
        <v>75139.153769030003</v>
      </c>
      <c r="K56" s="6">
        <f>(J56/I55)</f>
        <v>0.26077799999999979</v>
      </c>
      <c r="L56" s="7">
        <f t="shared" si="19"/>
        <v>1.2607779999999997</v>
      </c>
      <c r="O56">
        <f t="shared" si="20"/>
        <v>2009</v>
      </c>
      <c r="P56" s="6">
        <f t="shared" si="5"/>
        <v>0.20065388196811812</v>
      </c>
      <c r="Q56" s="7"/>
      <c r="R56" s="6">
        <f t="shared" si="5"/>
        <v>0.22243091170689847</v>
      </c>
      <c r="S56" s="6">
        <f t="shared" si="5"/>
        <v>0.10796349555591868</v>
      </c>
      <c r="T56" s="7"/>
      <c r="U56" s="6">
        <f t="shared" si="5"/>
        <v>0.21689306126851834</v>
      </c>
      <c r="V56" s="6">
        <f t="shared" si="7"/>
        <v>0.25205864950054652</v>
      </c>
      <c r="W56" s="6">
        <f t="shared" si="21"/>
        <v>1.0000000000000002</v>
      </c>
      <c r="X56" s="7">
        <f t="shared" si="22"/>
        <v>0.74794135049945365</v>
      </c>
      <c r="Y56" s="7">
        <f t="shared" si="23"/>
        <v>0</v>
      </c>
      <c r="Z56" s="6"/>
      <c r="AB56">
        <f t="shared" si="24"/>
        <v>2009</v>
      </c>
      <c r="AC56" s="1" t="b">
        <f t="shared" si="25"/>
        <v>1</v>
      </c>
      <c r="AE56" s="1" t="b">
        <f t="shared" si="52"/>
        <v>1</v>
      </c>
      <c r="AF56" s="1" t="b">
        <f t="shared" si="53"/>
        <v>1</v>
      </c>
      <c r="AH56" s="1" t="b">
        <f t="shared" si="38"/>
        <v>1</v>
      </c>
      <c r="AI56" s="1" t="b">
        <f t="shared" si="27"/>
        <v>1</v>
      </c>
      <c r="AJ56" s="1" t="b">
        <f t="shared" si="28"/>
        <v>1</v>
      </c>
      <c r="AL56">
        <f t="shared" si="29"/>
        <v>2009</v>
      </c>
      <c r="AM56" s="2">
        <f t="shared" si="54"/>
        <v>72654.742356034767</v>
      </c>
      <c r="AN56" s="2"/>
      <c r="AO56" s="2">
        <f t="shared" si="35"/>
        <v>72654.742356034767</v>
      </c>
      <c r="AP56" s="2">
        <f t="shared" si="35"/>
        <v>36327.371178017383</v>
      </c>
      <c r="AQ56" s="2"/>
      <c r="AR56" s="2">
        <f t="shared" si="55"/>
        <v>72654.742356034767</v>
      </c>
      <c r="AS56" s="2">
        <f t="shared" si="55"/>
        <v>108982.11353405214</v>
      </c>
      <c r="AT56" s="2">
        <f t="shared" si="30"/>
        <v>363273.71178017382</v>
      </c>
      <c r="AU56" s="2">
        <f t="shared" si="31"/>
        <v>0</v>
      </c>
    </row>
    <row r="57" spans="1:47" x14ac:dyDescent="0.25">
      <c r="A57">
        <f t="shared" si="4"/>
        <v>2010</v>
      </c>
      <c r="B57" s="2">
        <f t="shared" si="49"/>
        <v>83487.564441319555</v>
      </c>
      <c r="C57" s="2"/>
      <c r="D57" s="2">
        <f t="shared" si="50"/>
        <v>91152.639759881218</v>
      </c>
      <c r="E57" s="2">
        <f t="shared" si="51"/>
        <v>46397.318468563804</v>
      </c>
      <c r="F57" s="2"/>
      <c r="G57" s="2">
        <f t="shared" si="33"/>
        <v>80733.949706025829</v>
      </c>
      <c r="H57" s="2">
        <f t="shared" si="15"/>
        <v>115978.76522293829</v>
      </c>
      <c r="I57" s="2">
        <f t="shared" si="16"/>
        <v>417750.23759872874</v>
      </c>
      <c r="J57" s="2">
        <f t="shared" si="17"/>
        <v>54476.525818554917</v>
      </c>
      <c r="K57" s="6">
        <f t="shared" si="18"/>
        <v>0.14996000000000015</v>
      </c>
      <c r="L57" s="7">
        <f t="shared" si="19"/>
        <v>1.1499600000000001</v>
      </c>
      <c r="O57">
        <f t="shared" si="20"/>
        <v>2010</v>
      </c>
      <c r="P57" s="6">
        <f t="shared" si="5"/>
        <v>0.19985042958015931</v>
      </c>
      <c r="Q57" s="7"/>
      <c r="R57" s="6">
        <f t="shared" si="5"/>
        <v>0.21819889387456953</v>
      </c>
      <c r="S57" s="6">
        <f t="shared" si="5"/>
        <v>0.11106473268635431</v>
      </c>
      <c r="T57" s="7"/>
      <c r="U57" s="6">
        <f t="shared" si="5"/>
        <v>0.19325889596159865</v>
      </c>
      <c r="V57" s="6">
        <f t="shared" si="7"/>
        <v>0.27762704789731812</v>
      </c>
      <c r="W57" s="6">
        <f t="shared" si="21"/>
        <v>1</v>
      </c>
      <c r="X57" s="7">
        <f t="shared" si="22"/>
        <v>0.72237295210268182</v>
      </c>
      <c r="Y57" s="7">
        <f t="shared" si="23"/>
        <v>0</v>
      </c>
      <c r="Z57" s="6"/>
      <c r="AB57">
        <f t="shared" si="24"/>
        <v>2010</v>
      </c>
      <c r="AC57" s="1" t="b">
        <f t="shared" si="25"/>
        <v>1</v>
      </c>
      <c r="AE57" s="1" t="b">
        <f t="shared" si="52"/>
        <v>1</v>
      </c>
      <c r="AF57" s="1" t="b">
        <f t="shared" si="53"/>
        <v>1</v>
      </c>
      <c r="AH57" s="1" t="b">
        <f t="shared" si="38"/>
        <v>1</v>
      </c>
      <c r="AI57" s="1" t="b">
        <f t="shared" si="27"/>
        <v>1</v>
      </c>
      <c r="AJ57" s="1" t="b">
        <f t="shared" si="28"/>
        <v>1</v>
      </c>
      <c r="AL57">
        <f t="shared" si="29"/>
        <v>2010</v>
      </c>
      <c r="AM57" s="2">
        <f t="shared" si="54"/>
        <v>83550.047519745756</v>
      </c>
      <c r="AN57" s="2"/>
      <c r="AO57" s="2">
        <f t="shared" si="35"/>
        <v>83550.047519745756</v>
      </c>
      <c r="AP57" s="2">
        <f t="shared" si="35"/>
        <v>41775.023759872878</v>
      </c>
      <c r="AQ57" s="2"/>
      <c r="AR57" s="2">
        <f t="shared" si="55"/>
        <v>83550.047519745756</v>
      </c>
      <c r="AS57" s="2">
        <f t="shared" si="55"/>
        <v>125325.07127961861</v>
      </c>
      <c r="AT57" s="2">
        <f t="shared" si="30"/>
        <v>417750.23759872874</v>
      </c>
      <c r="AU57" s="2">
        <f t="shared" si="31"/>
        <v>0</v>
      </c>
    </row>
    <row r="58" spans="1:47" x14ac:dyDescent="0.25">
      <c r="A58">
        <f t="shared" si="4"/>
        <v>2011</v>
      </c>
      <c r="B58" s="2">
        <f t="shared" si="49"/>
        <v>85195.983455884751</v>
      </c>
      <c r="C58" s="2"/>
      <c r="D58" s="2">
        <f t="shared" si="50"/>
        <v>81787.141517079115</v>
      </c>
      <c r="E58" s="2">
        <f t="shared" si="51"/>
        <v>40605.323094596439</v>
      </c>
      <c r="F58" s="2"/>
      <c r="G58" s="2">
        <f t="shared" si="33"/>
        <v>71385.160600870775</v>
      </c>
      <c r="H58" s="2">
        <f t="shared" si="15"/>
        <v>134799.6466683578</v>
      </c>
      <c r="I58" s="2">
        <f t="shared" si="16"/>
        <v>413773.25533678895</v>
      </c>
      <c r="J58" s="2">
        <f t="shared" si="17"/>
        <v>-3976.9822619397892</v>
      </c>
      <c r="K58" s="6">
        <f t="shared" si="18"/>
        <v>-9.5199999999997405E-3</v>
      </c>
      <c r="L58" s="7">
        <f t="shared" si="19"/>
        <v>0.99048000000000025</v>
      </c>
      <c r="O58">
        <f t="shared" si="20"/>
        <v>2011</v>
      </c>
      <c r="P58" s="6">
        <f t="shared" si="5"/>
        <v>0.20590016961473223</v>
      </c>
      <c r="Q58" s="7"/>
      <c r="R58" s="6">
        <f t="shared" si="5"/>
        <v>0.19766173976253934</v>
      </c>
      <c r="S58" s="6">
        <f t="shared" si="5"/>
        <v>9.8134237945238664E-2</v>
      </c>
      <c r="T58" s="7"/>
      <c r="U58" s="6">
        <f t="shared" si="5"/>
        <v>0.17252241337533314</v>
      </c>
      <c r="V58" s="38">
        <f t="shared" si="7"/>
        <v>0.32578143930215647</v>
      </c>
      <c r="W58" s="6">
        <f t="shared" si="21"/>
        <v>0.99999999999999978</v>
      </c>
      <c r="X58" s="7">
        <f t="shared" si="22"/>
        <v>0.67421856069784336</v>
      </c>
      <c r="Y58" s="7">
        <f t="shared" si="23"/>
        <v>0</v>
      </c>
      <c r="Z58" s="6"/>
      <c r="AB58">
        <f t="shared" si="24"/>
        <v>2011</v>
      </c>
      <c r="AC58" s="1" t="b">
        <f t="shared" si="25"/>
        <v>1</v>
      </c>
      <c r="AE58" s="1" t="b">
        <f t="shared" si="52"/>
        <v>1</v>
      </c>
      <c r="AF58" s="1" t="b">
        <f t="shared" si="53"/>
        <v>1</v>
      </c>
      <c r="AH58" s="1" t="b">
        <f t="shared" si="38"/>
        <v>1</v>
      </c>
      <c r="AI58" s="39" t="b">
        <f t="shared" si="27"/>
        <v>1</v>
      </c>
      <c r="AJ58" s="1" t="b">
        <f t="shared" si="28"/>
        <v>1</v>
      </c>
      <c r="AL58">
        <f t="shared" si="29"/>
        <v>2011</v>
      </c>
      <c r="AM58" s="2">
        <f t="shared" si="54"/>
        <v>82754.651067357801</v>
      </c>
      <c r="AN58" s="2"/>
      <c r="AO58" s="2">
        <f t="shared" si="35"/>
        <v>82754.651067357801</v>
      </c>
      <c r="AP58" s="2">
        <f t="shared" si="35"/>
        <v>41377.325533678901</v>
      </c>
      <c r="AQ58" s="2"/>
      <c r="AR58" s="2">
        <f t="shared" si="55"/>
        <v>82754.651067357801</v>
      </c>
      <c r="AS58" s="2">
        <f t="shared" si="55"/>
        <v>124131.97660103667</v>
      </c>
      <c r="AT58" s="2">
        <f t="shared" si="30"/>
        <v>413773.25533678901</v>
      </c>
      <c r="AU58" s="2">
        <f t="shared" si="31"/>
        <v>0</v>
      </c>
    </row>
    <row r="59" spans="1:47" x14ac:dyDescent="0.25">
      <c r="A59">
        <f t="shared" si="4"/>
        <v>2012</v>
      </c>
      <c r="B59" s="2">
        <f t="shared" si="49"/>
        <v>95846.4368662138</v>
      </c>
      <c r="C59" s="2"/>
      <c r="D59" s="2">
        <f t="shared" si="50"/>
        <v>95829.885936000326</v>
      </c>
      <c r="E59" s="2">
        <f t="shared" si="51"/>
        <v>48841.79505995458</v>
      </c>
      <c r="F59" s="2"/>
      <c r="G59" s="2">
        <f t="shared" si="33"/>
        <v>97766.344770976502</v>
      </c>
      <c r="H59" s="2">
        <f t="shared" si="15"/>
        <v>129159.32165337866</v>
      </c>
      <c r="I59" s="2">
        <f t="shared" si="16"/>
        <v>467443.78428652388</v>
      </c>
      <c r="J59" s="2">
        <f t="shared" si="17"/>
        <v>53670.528949734929</v>
      </c>
      <c r="K59" s="6">
        <f t="shared" si="18"/>
        <v>0.12971000000000008</v>
      </c>
      <c r="L59" s="7">
        <f t="shared" si="19"/>
        <v>1.12971</v>
      </c>
      <c r="O59">
        <f t="shared" si="20"/>
        <v>2012</v>
      </c>
      <c r="P59" s="6">
        <f t="shared" si="5"/>
        <v>0.20504377229554488</v>
      </c>
      <c r="Q59" s="7"/>
      <c r="R59" s="6">
        <f t="shared" si="5"/>
        <v>0.20500836497862282</v>
      </c>
      <c r="S59" s="6">
        <f t="shared" si="5"/>
        <v>0.10448699223694578</v>
      </c>
      <c r="T59" s="7"/>
      <c r="U59" s="6">
        <f t="shared" si="5"/>
        <v>0.20915102105850175</v>
      </c>
      <c r="V59" s="6">
        <f t="shared" si="7"/>
        <v>0.27630984943038472</v>
      </c>
      <c r="W59" s="6">
        <f t="shared" si="21"/>
        <v>0.99999999999999989</v>
      </c>
      <c r="X59" s="7">
        <f t="shared" si="22"/>
        <v>0.72369015056961516</v>
      </c>
      <c r="Y59" s="7">
        <f t="shared" si="23"/>
        <v>0</v>
      </c>
      <c r="Z59" s="6"/>
      <c r="AA59" s="7">
        <f>SUM(P59:U59)</f>
        <v>0.72369015056961516</v>
      </c>
      <c r="AB59">
        <f t="shared" si="24"/>
        <v>2012</v>
      </c>
      <c r="AC59" s="1" t="b">
        <f t="shared" si="25"/>
        <v>1</v>
      </c>
      <c r="AE59" s="1" t="b">
        <f t="shared" si="52"/>
        <v>1</v>
      </c>
      <c r="AF59" s="1" t="b">
        <f t="shared" si="53"/>
        <v>1</v>
      </c>
      <c r="AH59" s="1" t="b">
        <f t="shared" si="38"/>
        <v>1</v>
      </c>
      <c r="AI59" s="1" t="b">
        <f t="shared" si="27"/>
        <v>1</v>
      </c>
      <c r="AJ59" s="1" t="b">
        <f t="shared" si="28"/>
        <v>1</v>
      </c>
      <c r="AL59">
        <f t="shared" si="29"/>
        <v>2012</v>
      </c>
      <c r="AM59" s="2">
        <f t="shared" si="54"/>
        <v>93488.756857304776</v>
      </c>
      <c r="AN59" s="2"/>
      <c r="AO59" s="2">
        <f t="shared" si="35"/>
        <v>93488.756857304776</v>
      </c>
      <c r="AP59" s="2">
        <f t="shared" si="35"/>
        <v>46744.378428652388</v>
      </c>
      <c r="AQ59" s="2"/>
      <c r="AR59" s="2">
        <f t="shared" si="55"/>
        <v>93488.756857304776</v>
      </c>
      <c r="AS59" s="2">
        <f t="shared" si="55"/>
        <v>140233.13528595716</v>
      </c>
      <c r="AT59" s="2">
        <f t="shared" si="30"/>
        <v>467443.78428652382</v>
      </c>
      <c r="AU59" s="2">
        <f t="shared" si="31"/>
        <v>0</v>
      </c>
    </row>
    <row r="60" spans="1:47" x14ac:dyDescent="0.25">
      <c r="A60">
        <f t="shared" si="4"/>
        <v>2013</v>
      </c>
      <c r="B60" s="2">
        <f t="shared" si="49"/>
        <v>123573.43881398546</v>
      </c>
      <c r="C60" s="2"/>
      <c r="D60" s="2">
        <f t="shared" si="50"/>
        <v>126209.82175736145</v>
      </c>
      <c r="E60" s="2">
        <f t="shared" si="51"/>
        <v>64329.613593511407</v>
      </c>
      <c r="F60" s="2"/>
      <c r="G60" s="2">
        <f t="shared" si="33"/>
        <v>107549.4658886434</v>
      </c>
      <c r="H60" s="2">
        <f t="shared" si="15"/>
        <v>137063.86642849454</v>
      </c>
      <c r="I60" s="2">
        <f t="shared" si="16"/>
        <v>558726.20648199623</v>
      </c>
      <c r="J60" s="2">
        <f t="shared" si="17"/>
        <v>91282.422195472347</v>
      </c>
      <c r="K60" s="6">
        <f t="shared" si="18"/>
        <v>0.19527999999999993</v>
      </c>
      <c r="L60" s="7">
        <f t="shared" si="19"/>
        <v>1.1952799999999999</v>
      </c>
      <c r="O60">
        <f t="shared" si="20"/>
        <v>2013</v>
      </c>
      <c r="P60" s="6">
        <f t="shared" si="5"/>
        <v>0.22116993507797339</v>
      </c>
      <c r="Q60" s="7"/>
      <c r="R60" s="6">
        <f t="shared" si="5"/>
        <v>0.22588849474600095</v>
      </c>
      <c r="S60" s="6">
        <f t="shared" si="5"/>
        <v>0.11513620239609128</v>
      </c>
      <c r="T60" s="7"/>
      <c r="U60" s="6">
        <f t="shared" si="5"/>
        <v>0.19249046248577739</v>
      </c>
      <c r="V60" s="38">
        <f t="shared" si="7"/>
        <v>0.24531490529415706</v>
      </c>
      <c r="W60" s="6">
        <f t="shared" si="21"/>
        <v>1</v>
      </c>
      <c r="X60" s="7">
        <f t="shared" si="22"/>
        <v>0.754685094705843</v>
      </c>
      <c r="Y60" s="7">
        <f t="shared" si="23"/>
        <v>0</v>
      </c>
      <c r="Z60" s="6"/>
      <c r="AB60">
        <f t="shared" si="24"/>
        <v>2013</v>
      </c>
      <c r="AC60" s="1" t="b">
        <f t="shared" si="25"/>
        <v>1</v>
      </c>
      <c r="AE60" s="1" t="b">
        <f t="shared" si="52"/>
        <v>1</v>
      </c>
      <c r="AF60" s="1" t="b">
        <f t="shared" si="53"/>
        <v>1</v>
      </c>
      <c r="AH60" s="1" t="b">
        <f t="shared" si="38"/>
        <v>1</v>
      </c>
      <c r="AI60" s="39" t="b">
        <f t="shared" si="27"/>
        <v>0</v>
      </c>
      <c r="AJ60" s="1" t="b">
        <f t="shared" si="28"/>
        <v>1</v>
      </c>
      <c r="AL60">
        <f t="shared" si="29"/>
        <v>2013</v>
      </c>
      <c r="AM60" s="2">
        <f t="shared" si="54"/>
        <v>111745.24129639925</v>
      </c>
      <c r="AN60" s="2"/>
      <c r="AO60" s="2">
        <f t="shared" si="35"/>
        <v>111745.24129639925</v>
      </c>
      <c r="AP60" s="2">
        <f t="shared" si="35"/>
        <v>55872.620648199627</v>
      </c>
      <c r="AQ60" s="2"/>
      <c r="AR60" s="2">
        <f t="shared" si="55"/>
        <v>111745.24129639925</v>
      </c>
      <c r="AS60" s="2">
        <f t="shared" si="55"/>
        <v>167617.86194459887</v>
      </c>
      <c r="AT60" s="2">
        <f t="shared" si="30"/>
        <v>558726.20648199623</v>
      </c>
      <c r="AU60" s="2">
        <f t="shared" si="31"/>
        <v>0</v>
      </c>
    </row>
    <row r="61" spans="1:47" x14ac:dyDescent="0.25">
      <c r="A61">
        <f t="shared" si="4"/>
        <v>2014</v>
      </c>
      <c r="B61" s="2">
        <f t="shared" si="49"/>
        <v>126842.0233955428</v>
      </c>
      <c r="C61" s="2"/>
      <c r="D61" s="2">
        <f t="shared" si="50"/>
        <v>126942.59411270957</v>
      </c>
      <c r="E61" s="2">
        <f t="shared" si="51"/>
        <v>59990.432789971943</v>
      </c>
      <c r="F61" s="2"/>
      <c r="G61" s="2">
        <f t="shared" si="33"/>
        <v>107007.24306543193</v>
      </c>
      <c r="H61" s="2">
        <f t="shared" si="15"/>
        <v>177272.65079260778</v>
      </c>
      <c r="I61" s="2">
        <f t="shared" si="16"/>
        <v>598054.94415626407</v>
      </c>
      <c r="J61" s="2">
        <f t="shared" si="17"/>
        <v>39328.737674267846</v>
      </c>
      <c r="K61" s="6">
        <f t="shared" si="18"/>
        <v>7.039000000000023E-2</v>
      </c>
      <c r="L61" s="7">
        <f t="shared" si="19"/>
        <v>1.0703900000000002</v>
      </c>
      <c r="O61">
        <f t="shared" si="20"/>
        <v>2014</v>
      </c>
      <c r="P61" s="6">
        <f t="shared" si="5"/>
        <v>0.21209092013191452</v>
      </c>
      <c r="Q61" s="7"/>
      <c r="R61" s="6">
        <f t="shared" si="5"/>
        <v>0.21225908313792169</v>
      </c>
      <c r="S61" s="6">
        <f t="shared" si="5"/>
        <v>0.10030923308326871</v>
      </c>
      <c r="T61" s="7"/>
      <c r="U61" s="6">
        <f t="shared" si="5"/>
        <v>0.17892543839161426</v>
      </c>
      <c r="V61" s="6">
        <f t="shared" si="7"/>
        <v>0.29641532525528075</v>
      </c>
      <c r="W61" s="6">
        <f t="shared" si="21"/>
        <v>0.99999999999999978</v>
      </c>
      <c r="X61" s="7">
        <f t="shared" si="22"/>
        <v>0.70358467474471909</v>
      </c>
      <c r="Y61" s="7">
        <f t="shared" si="23"/>
        <v>0</v>
      </c>
      <c r="Z61" s="6"/>
      <c r="AB61">
        <f t="shared" si="24"/>
        <v>2014</v>
      </c>
      <c r="AC61" s="1" t="b">
        <f t="shared" si="25"/>
        <v>1</v>
      </c>
      <c r="AE61" s="1" t="b">
        <f t="shared" si="52"/>
        <v>1</v>
      </c>
      <c r="AF61" s="1" t="b">
        <f t="shared" si="53"/>
        <v>1</v>
      </c>
      <c r="AH61" s="1" t="b">
        <f t="shared" si="38"/>
        <v>1</v>
      </c>
      <c r="AI61" s="1" t="b">
        <f t="shared" si="27"/>
        <v>1</v>
      </c>
      <c r="AJ61" s="1" t="b">
        <f t="shared" si="28"/>
        <v>1</v>
      </c>
      <c r="AL61">
        <f t="shared" si="29"/>
        <v>2014</v>
      </c>
      <c r="AM61" s="2">
        <f t="shared" si="54"/>
        <v>119610.98883125282</v>
      </c>
      <c r="AN61" s="2"/>
      <c r="AO61" s="2">
        <f t="shared" si="35"/>
        <v>119610.98883125282</v>
      </c>
      <c r="AP61" s="2">
        <f t="shared" si="35"/>
        <v>59805.49441562641</v>
      </c>
      <c r="AQ61" s="2"/>
      <c r="AR61" s="2">
        <f t="shared" si="55"/>
        <v>119610.98883125282</v>
      </c>
      <c r="AS61" s="2">
        <f t="shared" si="55"/>
        <v>179416.48324687922</v>
      </c>
      <c r="AT61" s="2">
        <f t="shared" si="30"/>
        <v>598054.94415626407</v>
      </c>
      <c r="AU61" s="2">
        <f t="shared" si="31"/>
        <v>0</v>
      </c>
    </row>
    <row r="62" spans="1:47" x14ac:dyDescent="0.25">
      <c r="A62">
        <f t="shared" si="4"/>
        <v>2015</v>
      </c>
      <c r="B62" s="2">
        <f t="shared" si="49"/>
        <v>121106.12619164347</v>
      </c>
      <c r="C62" s="2"/>
      <c r="D62" s="2">
        <f t="shared" si="50"/>
        <v>117864.66839431654</v>
      </c>
      <c r="E62" s="2">
        <f t="shared" si="51"/>
        <v>57544.846726715725</v>
      </c>
      <c r="F62" s="2"/>
      <c r="G62" s="2">
        <f t="shared" si="33"/>
        <v>114383.98861932708</v>
      </c>
      <c r="H62" s="2">
        <f t="shared" si="15"/>
        <v>179954.73269661985</v>
      </c>
      <c r="I62" s="2">
        <f t="shared" si="16"/>
        <v>590854.36262862268</v>
      </c>
      <c r="J62" s="2">
        <f t="shared" si="17"/>
        <v>-7200.5815276413923</v>
      </c>
      <c r="K62" s="6">
        <f t="shared" si="18"/>
        <v>-1.2039999999999955E-2</v>
      </c>
      <c r="L62" s="7">
        <f t="shared" si="19"/>
        <v>0.98796000000000006</v>
      </c>
      <c r="O62">
        <f t="shared" si="20"/>
        <v>2015</v>
      </c>
      <c r="P62" s="6">
        <f t="shared" si="5"/>
        <v>0.20496781246204299</v>
      </c>
      <c r="Q62" s="7"/>
      <c r="R62" s="6">
        <f t="shared" si="5"/>
        <v>0.19948176039515772</v>
      </c>
      <c r="S62" s="6">
        <f t="shared" si="5"/>
        <v>9.7392606988137162E-2</v>
      </c>
      <c r="T62" s="7"/>
      <c r="U62" s="6">
        <f t="shared" si="5"/>
        <v>0.19359083363698937</v>
      </c>
      <c r="V62" s="38">
        <f t="shared" si="7"/>
        <v>0.30456698651767272</v>
      </c>
      <c r="W62" s="6">
        <f t="shared" si="21"/>
        <v>1</v>
      </c>
      <c r="X62" s="7">
        <f t="shared" si="22"/>
        <v>0.69543301348232722</v>
      </c>
      <c r="Y62" s="7">
        <f t="shared" si="23"/>
        <v>0</v>
      </c>
      <c r="Z62" s="6"/>
      <c r="AB62">
        <f t="shared" si="24"/>
        <v>2015</v>
      </c>
      <c r="AC62" s="1" t="b">
        <f t="shared" si="25"/>
        <v>1</v>
      </c>
      <c r="AE62" s="1" t="b">
        <f t="shared" si="52"/>
        <v>1</v>
      </c>
      <c r="AF62" s="1" t="b">
        <f t="shared" si="53"/>
        <v>1</v>
      </c>
      <c r="AH62" s="1" t="b">
        <f t="shared" si="38"/>
        <v>1</v>
      </c>
      <c r="AI62" s="39" t="b">
        <f t="shared" si="27"/>
        <v>1</v>
      </c>
      <c r="AJ62" s="1" t="b">
        <f t="shared" si="28"/>
        <v>1</v>
      </c>
      <c r="AL62">
        <f t="shared" si="29"/>
        <v>2015</v>
      </c>
      <c r="AM62" s="2">
        <f t="shared" si="54"/>
        <v>118170.87252572454</v>
      </c>
      <c r="AN62" s="2"/>
      <c r="AO62" s="2">
        <f t="shared" si="35"/>
        <v>118170.87252572454</v>
      </c>
      <c r="AP62" s="2">
        <f t="shared" si="35"/>
        <v>59085.436262862269</v>
      </c>
      <c r="AQ62" s="2"/>
      <c r="AR62" s="2">
        <f t="shared" si="55"/>
        <v>118170.87252572454</v>
      </c>
      <c r="AS62" s="2">
        <f t="shared" si="55"/>
        <v>177256.30878858679</v>
      </c>
      <c r="AT62" s="2">
        <f t="shared" si="30"/>
        <v>590854.36262862268</v>
      </c>
      <c r="AU62" s="2">
        <f t="shared" si="31"/>
        <v>0</v>
      </c>
    </row>
    <row r="63" spans="1:47" x14ac:dyDescent="0.25">
      <c r="A63">
        <f t="shared" si="4"/>
        <v>2016</v>
      </c>
      <c r="B63" s="2">
        <f t="shared" si="49"/>
        <v>132138.66965826519</v>
      </c>
      <c r="C63" s="2"/>
      <c r="D63" s="2">
        <f t="shared" si="50"/>
        <v>131252.38811432224</v>
      </c>
      <c r="E63" s="2">
        <f t="shared" si="51"/>
        <v>69821.260031824335</v>
      </c>
      <c r="F63" s="2"/>
      <c r="G63" s="2">
        <f t="shared" si="33"/>
        <v>123665.81809817073</v>
      </c>
      <c r="H63" s="2">
        <f t="shared" si="15"/>
        <v>181687.71650830144</v>
      </c>
      <c r="I63" s="2">
        <f t="shared" si="16"/>
        <v>638565.85241088388</v>
      </c>
      <c r="J63" s="2">
        <f t="shared" si="17"/>
        <v>47711.489782261197</v>
      </c>
      <c r="K63" s="6">
        <f t="shared" si="18"/>
        <v>8.074999999999985E-2</v>
      </c>
      <c r="L63" s="7">
        <f t="shared" si="19"/>
        <v>1.0807499999999999</v>
      </c>
      <c r="O63">
        <f t="shared" si="20"/>
        <v>2016</v>
      </c>
      <c r="P63" s="6">
        <f t="shared" si="5"/>
        <v>0.20693037242655568</v>
      </c>
      <c r="Q63" s="7"/>
      <c r="R63" s="6">
        <f t="shared" si="5"/>
        <v>0.20554244737450847</v>
      </c>
      <c r="S63" s="6">
        <f t="shared" si="5"/>
        <v>0.10934073560027759</v>
      </c>
      <c r="T63" s="7"/>
      <c r="U63" s="6">
        <f t="shared" si="5"/>
        <v>0.19366180892898452</v>
      </c>
      <c r="V63" s="6">
        <f t="shared" si="7"/>
        <v>0.28452463566967384</v>
      </c>
      <c r="W63" s="6">
        <f t="shared" si="21"/>
        <v>1.0000000000000002</v>
      </c>
      <c r="X63" s="7">
        <f t="shared" si="22"/>
        <v>0.71547536433032632</v>
      </c>
      <c r="Y63" s="7">
        <f t="shared" si="23"/>
        <v>0</v>
      </c>
      <c r="Z63" s="6"/>
      <c r="AB63">
        <f t="shared" si="24"/>
        <v>2016</v>
      </c>
      <c r="AC63" s="1" t="b">
        <f t="shared" si="25"/>
        <v>1</v>
      </c>
      <c r="AE63" s="1" t="b">
        <f t="shared" si="52"/>
        <v>1</v>
      </c>
      <c r="AF63" s="1" t="b">
        <f t="shared" si="53"/>
        <v>1</v>
      </c>
      <c r="AH63" s="1" t="b">
        <f t="shared" si="38"/>
        <v>1</v>
      </c>
      <c r="AI63" s="1" t="b">
        <f t="shared" si="27"/>
        <v>1</v>
      </c>
      <c r="AJ63" s="1" t="b">
        <f t="shared" si="28"/>
        <v>1</v>
      </c>
      <c r="AL63">
        <f t="shared" si="29"/>
        <v>2016</v>
      </c>
      <c r="AM63" s="2">
        <f t="shared" si="54"/>
        <v>127713.17048217678</v>
      </c>
      <c r="AN63" s="2"/>
      <c r="AO63" s="2">
        <f t="shared" si="35"/>
        <v>127713.17048217678</v>
      </c>
      <c r="AP63" s="2">
        <f t="shared" si="35"/>
        <v>63856.585241088389</v>
      </c>
      <c r="AQ63" s="2"/>
      <c r="AR63" s="2">
        <f t="shared" si="55"/>
        <v>127713.17048217678</v>
      </c>
      <c r="AS63" s="2">
        <f t="shared" si="55"/>
        <v>191569.75572326515</v>
      </c>
      <c r="AT63" s="2">
        <f t="shared" si="30"/>
        <v>638565.85241088388</v>
      </c>
      <c r="AU63" s="2">
        <f t="shared" si="31"/>
        <v>0</v>
      </c>
    </row>
    <row r="64" spans="1:47" x14ac:dyDescent="0.25">
      <c r="A64">
        <f t="shared" si="4"/>
        <v>2017</v>
      </c>
      <c r="B64" s="2">
        <f t="shared" si="49"/>
        <v>155388.61452566448</v>
      </c>
      <c r="C64" s="2"/>
      <c r="D64" s="2">
        <f t="shared" si="50"/>
        <v>152744.95189668343</v>
      </c>
      <c r="E64" s="2">
        <f t="shared" si="51"/>
        <v>74137.495464903623</v>
      </c>
      <c r="F64" s="2"/>
      <c r="G64" s="2">
        <f t="shared" si="33"/>
        <v>162706.57919429321</v>
      </c>
      <c r="H64" s="2">
        <f t="shared" si="15"/>
        <v>198198.06927129012</v>
      </c>
      <c r="I64" s="2">
        <f t="shared" si="16"/>
        <v>743175.7103528349</v>
      </c>
      <c r="J64" s="2">
        <f t="shared" si="17"/>
        <v>104609.85794195102</v>
      </c>
      <c r="K64" s="6">
        <f t="shared" si="18"/>
        <v>0.16382000000000005</v>
      </c>
      <c r="L64" s="7">
        <f t="shared" si="19"/>
        <v>1.1638200000000001</v>
      </c>
      <c r="O64">
        <f t="shared" si="20"/>
        <v>2017</v>
      </c>
      <c r="P64" s="6">
        <f t="shared" si="5"/>
        <v>0.20908731590795826</v>
      </c>
      <c r="Q64" s="7"/>
      <c r="R64" s="6">
        <f t="shared" si="5"/>
        <v>0.20553006478665087</v>
      </c>
      <c r="S64" s="6">
        <f t="shared" si="5"/>
        <v>9.9757694488838478E-2</v>
      </c>
      <c r="T64" s="7"/>
      <c r="U64" s="6">
        <f t="shared" si="5"/>
        <v>0.21893419944664982</v>
      </c>
      <c r="V64" s="6">
        <f t="shared" si="7"/>
        <v>0.26669072536990251</v>
      </c>
      <c r="W64" s="6">
        <f t="shared" si="21"/>
        <v>1</v>
      </c>
      <c r="X64" s="7">
        <f t="shared" si="22"/>
        <v>0.73330927463009743</v>
      </c>
      <c r="Y64" s="7">
        <f t="shared" si="23"/>
        <v>0</v>
      </c>
      <c r="Z64" s="6"/>
      <c r="AB64">
        <f t="shared" si="24"/>
        <v>2017</v>
      </c>
      <c r="AC64" s="1" t="b">
        <f t="shared" si="25"/>
        <v>1</v>
      </c>
      <c r="AE64" s="1" t="b">
        <f t="shared" si="52"/>
        <v>1</v>
      </c>
      <c r="AF64" s="1" t="b">
        <f t="shared" si="53"/>
        <v>1</v>
      </c>
      <c r="AH64" s="1" t="b">
        <f t="shared" si="38"/>
        <v>1</v>
      </c>
      <c r="AI64" s="1" t="b">
        <f t="shared" si="27"/>
        <v>1</v>
      </c>
      <c r="AJ64" s="1" t="b">
        <f t="shared" si="28"/>
        <v>1</v>
      </c>
      <c r="AL64">
        <f t="shared" si="29"/>
        <v>2017</v>
      </c>
      <c r="AM64" s="2">
        <f t="shared" si="54"/>
        <v>148635.14207056697</v>
      </c>
      <c r="AN64" s="2"/>
      <c r="AO64" s="2">
        <f t="shared" si="35"/>
        <v>148635.14207056697</v>
      </c>
      <c r="AP64" s="2">
        <f t="shared" si="35"/>
        <v>74317.571035283487</v>
      </c>
      <c r="AQ64" s="2"/>
      <c r="AR64" s="2">
        <f t="shared" si="55"/>
        <v>148635.14207056697</v>
      </c>
      <c r="AS64" s="2">
        <f t="shared" si="55"/>
        <v>222952.71310585047</v>
      </c>
      <c r="AT64" s="2">
        <f t="shared" si="30"/>
        <v>743175.7103528349</v>
      </c>
      <c r="AU64" s="2">
        <f t="shared" si="31"/>
        <v>0</v>
      </c>
    </row>
    <row r="65" spans="1:45" x14ac:dyDescent="0.25">
      <c r="A65" s="9" t="s">
        <v>79</v>
      </c>
      <c r="B65" s="10">
        <f>B64</f>
        <v>155388.61452566448</v>
      </c>
      <c r="C65" s="10"/>
      <c r="D65" s="10">
        <f>D64</f>
        <v>152744.95189668343</v>
      </c>
      <c r="E65" s="10">
        <f>E64</f>
        <v>74137.495464903623</v>
      </c>
      <c r="F65" s="10"/>
      <c r="G65" s="10">
        <f>G64</f>
        <v>162706.57919429321</v>
      </c>
      <c r="H65" s="10">
        <f>H64</f>
        <v>198198.06927129012</v>
      </c>
      <c r="I65" s="10">
        <f>SUM(B65:H65)</f>
        <v>743175.7103528349</v>
      </c>
      <c r="J65" s="10"/>
      <c r="K65" s="10"/>
      <c r="AM65" s="22"/>
      <c r="AO65" s="22"/>
      <c r="AP65" s="22"/>
      <c r="AR65" s="22"/>
      <c r="AS65" s="22"/>
    </row>
    <row r="66" spans="1:45" x14ac:dyDescent="0.25">
      <c r="A66" s="11" t="s">
        <v>80</v>
      </c>
      <c r="I66" s="6">
        <f>(I65-I39)/I39</f>
        <v>6.4317571035283487</v>
      </c>
      <c r="K66" s="6"/>
      <c r="R66" s="7"/>
      <c r="AO66" s="2"/>
    </row>
    <row r="67" spans="1:45" x14ac:dyDescent="0.25">
      <c r="A67" s="1" t="s">
        <v>81</v>
      </c>
      <c r="I67" s="29">
        <f>STDEV(L40:L64)</f>
        <v>0.11866568054281591</v>
      </c>
      <c r="K67" s="30"/>
    </row>
    <row r="68" spans="1:45" x14ac:dyDescent="0.25">
      <c r="A68" s="1" t="s">
        <v>82</v>
      </c>
      <c r="I68" s="13">
        <f>((1+I66)^(1/I73))-1</f>
        <v>8.3536786255703044E-2</v>
      </c>
      <c r="K68" s="30"/>
    </row>
    <row r="69" spans="1:45" x14ac:dyDescent="0.25">
      <c r="A69" s="1" t="s">
        <v>83</v>
      </c>
      <c r="I69" s="31">
        <f>J60</f>
        <v>91282.422195472347</v>
      </c>
    </row>
    <row r="70" spans="1:45" x14ac:dyDescent="0.25">
      <c r="A70" s="1" t="s">
        <v>84</v>
      </c>
      <c r="I70" s="32">
        <f>K60</f>
        <v>0.19527999999999993</v>
      </c>
    </row>
    <row r="71" spans="1:45" x14ac:dyDescent="0.25">
      <c r="A71" s="3" t="s">
        <v>85</v>
      </c>
      <c r="I71" s="33">
        <f>I64-I65</f>
        <v>0</v>
      </c>
    </row>
    <row r="72" spans="1:45" x14ac:dyDescent="0.25">
      <c r="A72" s="3" t="s">
        <v>149</v>
      </c>
      <c r="I72" s="33">
        <f>((SUM(J40:J64))-(I65-I39))</f>
        <v>0</v>
      </c>
    </row>
    <row r="73" spans="1:45" x14ac:dyDescent="0.25">
      <c r="A73" s="3" t="s">
        <v>160</v>
      </c>
      <c r="I73" s="3">
        <f>COUNTA(I40:I64)</f>
        <v>25</v>
      </c>
    </row>
    <row r="74" spans="1:45" x14ac:dyDescent="0.25">
      <c r="A74" s="1" t="s">
        <v>106</v>
      </c>
      <c r="B74" s="63"/>
      <c r="C74" s="63"/>
      <c r="D74" s="63"/>
      <c r="E74" s="63"/>
      <c r="G74" s="63"/>
      <c r="H74" s="63"/>
      <c r="I74" s="86">
        <f>(SUM(B65:G65)/I65)</f>
        <v>0.73330927463009754</v>
      </c>
    </row>
    <row r="75" spans="1:45" x14ac:dyDescent="0.25">
      <c r="A75" s="1" t="s">
        <v>107</v>
      </c>
      <c r="B75" s="63"/>
      <c r="C75" s="63"/>
      <c r="D75" s="63"/>
      <c r="E75" s="63"/>
      <c r="G75" s="63"/>
      <c r="H75" s="63"/>
      <c r="I75" s="86">
        <f>(H65/I65)</f>
        <v>0.26669072536990251</v>
      </c>
    </row>
    <row r="76" spans="1:45" x14ac:dyDescent="0.25">
      <c r="A76" s="3" t="s">
        <v>108</v>
      </c>
      <c r="I76" s="3">
        <f>100%-(I74+I75)</f>
        <v>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76"/>
  <sheetViews>
    <sheetView topLeftCell="A64" zoomScaleNormal="100" workbookViewId="0">
      <selection activeCell="A74" sqref="A74:I76"/>
    </sheetView>
  </sheetViews>
  <sheetFormatPr defaultColWidth="8.85546875" defaultRowHeight="15" x14ac:dyDescent="0.25"/>
  <cols>
    <col min="1" max="1" width="25.42578125" customWidth="1"/>
    <col min="2" max="2" width="9.85546875" bestFit="1" customWidth="1"/>
    <col min="3" max="4" width="9.28515625" bestFit="1" customWidth="1"/>
    <col min="5" max="5" width="10.140625" customWidth="1"/>
    <col min="7" max="7" width="9.85546875" bestFit="1" customWidth="1"/>
    <col min="8" max="8" width="9.28515625" bestFit="1" customWidth="1"/>
    <col min="9" max="9" width="11.7109375" customWidth="1"/>
    <col min="10" max="10" width="10" bestFit="1" customWidth="1"/>
    <col min="28" max="28" width="10.85546875" bestFit="1" customWidth="1"/>
    <col min="29" max="30" width="9.28515625" bestFit="1" customWidth="1"/>
    <col min="31" max="31" width="10.28515625" customWidth="1"/>
    <col min="33" max="33" width="9.85546875" bestFit="1" customWidth="1"/>
    <col min="34" max="35" width="9.28515625" bestFit="1" customWidth="1"/>
  </cols>
  <sheetData>
    <row r="1" spans="1:8" x14ac:dyDescent="0.25">
      <c r="A1"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row>
    <row r="5" spans="1:8"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row>
    <row r="6" spans="1:8"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row>
    <row r="7" spans="1:8"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row>
    <row r="8" spans="1:8" x14ac:dyDescent="0.25">
      <c r="A8" s="17">
        <f>'Non-Rebalanced Portfolio'!A8</f>
        <v>1997</v>
      </c>
      <c r="B8" s="17">
        <f>'Non-Rebalanced Portfolio'!B8</f>
        <v>33.19</v>
      </c>
      <c r="C8" s="17">
        <f>'Non-Rebalanced Portfolio'!C8</f>
        <v>26.687000000000001</v>
      </c>
      <c r="D8" s="17"/>
      <c r="E8" s="17"/>
      <c r="F8" s="17">
        <f>'Non-Rebalanced Portfolio'!F8</f>
        <v>0</v>
      </c>
      <c r="G8" s="17"/>
      <c r="H8" s="17">
        <f>'Non-Rebalanced Portfolio'!H8</f>
        <v>9.44</v>
      </c>
    </row>
    <row r="9" spans="1:8" x14ac:dyDescent="0.25">
      <c r="A9" s="17">
        <f>'Non-Rebalanced Portfolio'!A9</f>
        <v>1998</v>
      </c>
      <c r="B9" s="17">
        <f>'Non-Rebalanced Portfolio'!B9</f>
        <v>28.66</v>
      </c>
      <c r="C9" s="17">
        <f>'Non-Rebalanced Portfolio'!C9</f>
        <v>8.3529999999999998</v>
      </c>
      <c r="D9" s="17"/>
      <c r="E9" s="17"/>
      <c r="F9" s="17">
        <f>'Non-Rebalanced Portfolio'!F9</f>
        <v>0</v>
      </c>
      <c r="G9" s="17">
        <f>'Non-Rebalanced Portfolio'!G9</f>
        <v>15.603</v>
      </c>
      <c r="H9" s="17">
        <f>'Non-Rebalanced Portfolio'!H9</f>
        <v>8.58</v>
      </c>
    </row>
    <row r="10" spans="1:8" x14ac:dyDescent="0.25">
      <c r="A10" s="17">
        <f>'Non-Rebalanced Portfolio'!A10</f>
        <v>1999</v>
      </c>
      <c r="B10" s="17">
        <f>'Non-Rebalanced Portfolio'!B10</f>
        <v>21.07</v>
      </c>
      <c r="C10" s="17">
        <f>'Non-Rebalanced Portfolio'!C10</f>
        <v>0</v>
      </c>
      <c r="D10" s="17"/>
      <c r="E10" s="17"/>
      <c r="F10" s="17">
        <f>'Non-Rebalanced Portfolio'!F10</f>
        <v>0</v>
      </c>
      <c r="G10" s="17">
        <f>'Non-Rebalanced Portfolio'!G10</f>
        <v>29.919</v>
      </c>
      <c r="H10" s="17">
        <f>'Non-Rebalanced Portfolio'!H10</f>
        <v>-0.76</v>
      </c>
    </row>
    <row r="11" spans="1:8" x14ac:dyDescent="0.25">
      <c r="A11" s="17">
        <f>'Non-Rebalanced Portfolio'!A11</f>
        <v>2000</v>
      </c>
      <c r="B11" s="17">
        <f>'Non-Rebalanced Portfolio'!B11</f>
        <v>-9.06</v>
      </c>
      <c r="C11" s="17">
        <f>'Non-Rebalanced Portfolio'!C11</f>
        <v>0</v>
      </c>
      <c r="D11" s="17">
        <f>'Non-Rebalanced Portfolio'!D11</f>
        <v>18.097999999999999</v>
      </c>
      <c r="E11" s="17">
        <f>'Non-Rebalanced Portfolio'!E11</f>
        <v>-2.665</v>
      </c>
      <c r="F11" s="17">
        <f>'Non-Rebalanced Portfolio'!F11</f>
        <v>0</v>
      </c>
      <c r="G11" s="18">
        <f>'Non-Rebalanced Portfolio'!G11</f>
        <v>-15.614000000000001</v>
      </c>
      <c r="H11" s="17">
        <f>'Non-Rebalanced Portfolio'!H11</f>
        <v>11.39</v>
      </c>
    </row>
    <row r="12" spans="1:8" x14ac:dyDescent="0.25">
      <c r="A12" s="17">
        <f>'Non-Rebalanced Portfolio'!A12</f>
        <v>2001</v>
      </c>
      <c r="B12" s="17">
        <f>'Non-Rebalanced Portfolio'!B12</f>
        <v>-12.02</v>
      </c>
      <c r="C12" s="17">
        <f>'Non-Rebalanced Portfolio'!C12</f>
        <v>0</v>
      </c>
      <c r="D12" s="17">
        <f>'Non-Rebalanced Portfolio'!D12</f>
        <v>-0.499</v>
      </c>
      <c r="E12" s="17">
        <f>'Non-Rebalanced Portfolio'!E12</f>
        <v>3.1</v>
      </c>
      <c r="F12" s="17">
        <f>'Non-Rebalanced Portfolio'!F12</f>
        <v>0</v>
      </c>
      <c r="G12" s="17">
        <f>'Non-Rebalanced Portfolio'!G12</f>
        <v>-20.152999999999999</v>
      </c>
      <c r="H12" s="17">
        <f>'Non-Rebalanced Portfolio'!H12</f>
        <v>8.43</v>
      </c>
    </row>
    <row r="13" spans="1:8" x14ac:dyDescent="0.25">
      <c r="A13" s="17">
        <f>'Non-Rebalanced Portfolio'!A13</f>
        <v>2002</v>
      </c>
      <c r="B13" s="17">
        <f>'Non-Rebalanced Portfolio'!B13</f>
        <v>-22.15</v>
      </c>
      <c r="C13" s="17">
        <f>'Non-Rebalanced Portfolio'!C13</f>
        <v>0</v>
      </c>
      <c r="D13" s="18">
        <f>'Non-Rebalanced Portfolio'!D13</f>
        <v>-14.608000000000001</v>
      </c>
      <c r="E13" s="18">
        <f>'Non-Rebalanced Portfolio'!E13</f>
        <v>-20.021999999999998</v>
      </c>
      <c r="F13" s="17"/>
      <c r="G13" s="17">
        <f>'Non-Rebalanced Portfolio'!G13</f>
        <v>-15.083</v>
      </c>
      <c r="H13" s="17">
        <f>'Non-Rebalanced Portfolio'!H13</f>
        <v>8.26</v>
      </c>
    </row>
    <row r="14" spans="1:8" x14ac:dyDescent="0.25">
      <c r="A14" s="17">
        <f>'Non-Rebalanced Portfolio'!A14</f>
        <v>2003</v>
      </c>
      <c r="B14" s="17">
        <f>'Non-Rebalanced Portfolio'!B14</f>
        <v>28.5</v>
      </c>
      <c r="C14" s="17">
        <f>'Non-Rebalanced Portfolio'!C14</f>
        <v>0</v>
      </c>
      <c r="D14" s="17">
        <f>'Non-Rebalanced Portfolio'!D14</f>
        <v>34.142000000000003</v>
      </c>
      <c r="E14" s="17">
        <f>'Non-Rebalanced Portfolio'!E14</f>
        <v>45.628</v>
      </c>
      <c r="F14" s="17"/>
      <c r="G14" s="17">
        <f>'Non-Rebalanced Portfolio'!G14</f>
        <v>40.340000000000003</v>
      </c>
      <c r="H14" s="17">
        <f>'Non-Rebalanced Portfolio'!H14</f>
        <v>3.97</v>
      </c>
    </row>
    <row r="15" spans="1:8"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row>
    <row r="16" spans="1:8"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row>
    <row r="17" spans="1:8"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row>
    <row r="18" spans="1:8"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row>
    <row r="19" spans="1:8"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row>
    <row r="20" spans="1:8"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row>
    <row r="21" spans="1:8"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row>
    <row r="22" spans="1:8"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row>
    <row r="23" spans="1:8"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row>
    <row r="24" spans="1:8"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row>
    <row r="25" spans="1:8"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row>
    <row r="26" spans="1:8"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row>
    <row r="27" spans="1:8"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row>
    <row r="28" spans="1:8"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row>
    <row r="29" spans="1:8" x14ac:dyDescent="0.25">
      <c r="A29" s="17">
        <f>'Non-Rebalanced Portfolio'!A29</f>
        <v>2017</v>
      </c>
      <c r="B29" s="17">
        <f>'Non-Rebalanced Portfolio'!B29</f>
        <v>21.67</v>
      </c>
      <c r="C29" s="19"/>
      <c r="D29" s="19">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9">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9">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9">
        <f>'Non-Rebalanced Portfolio'!D32</f>
        <v>19.600000000000001</v>
      </c>
      <c r="E32" s="17">
        <f>'Non-Rebalanced Portfolio'!E32</f>
        <v>16.100000000000001</v>
      </c>
      <c r="F32" s="19"/>
      <c r="G32" s="17">
        <f>'Non-Rebalanced Portfolio'!G32</f>
        <v>27.4</v>
      </c>
      <c r="H32" s="17">
        <f>'Non-Rebalanced Portfolio'!H32</f>
        <v>3.46</v>
      </c>
    </row>
    <row r="33" spans="1:36" x14ac:dyDescent="0.25">
      <c r="A33" s="17">
        <f>'Non-Rebalanced Portfolio'!A33</f>
        <v>2017</v>
      </c>
      <c r="B33" s="17">
        <f>'Non-Rebalanced Portfolio'!B33</f>
        <v>21.67</v>
      </c>
      <c r="C33" s="19"/>
      <c r="D33" s="19">
        <f>'Non-Rebalanced Portfolio'!D33</f>
        <v>19.600000000000001</v>
      </c>
      <c r="E33" s="17">
        <f>'Non-Rebalanced Portfolio'!E33</f>
        <v>16.100000000000001</v>
      </c>
      <c r="F33" s="19"/>
      <c r="G33" s="17">
        <f>'Non-Rebalanced Portfolio'!G33</f>
        <v>27.4</v>
      </c>
      <c r="H33" s="17">
        <f>'Non-Rebalanced Portfolio'!H33</f>
        <v>3.46</v>
      </c>
    </row>
    <row r="35" spans="1:36" x14ac:dyDescent="0.25">
      <c r="A35" s="57"/>
    </row>
    <row r="36" spans="1:36" x14ac:dyDescent="0.25">
      <c r="A36" s="20" t="s">
        <v>121</v>
      </c>
      <c r="O36" s="20" t="s">
        <v>126</v>
      </c>
      <c r="AA36" s="20" t="s">
        <v>4</v>
      </c>
    </row>
    <row r="37" spans="1:36"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5" t="s">
        <v>113</v>
      </c>
      <c r="AB37" s="4" t="str">
        <f t="shared" ref="AB37:AH38" si="2">P37</f>
        <v>LC Stocks</v>
      </c>
      <c r="AC37" s="4" t="str">
        <f t="shared" si="2"/>
        <v>Ext Mkt</v>
      </c>
      <c r="AD37" s="4" t="str">
        <f t="shared" si="2"/>
        <v>Mcap Stk</v>
      </c>
      <c r="AE37" s="4" t="str">
        <f t="shared" si="2"/>
        <v>Small Cap</v>
      </c>
      <c r="AF37" s="4" t="str">
        <f t="shared" si="2"/>
        <v>Intl Val</v>
      </c>
      <c r="AG37" s="4" t="str">
        <f t="shared" si="2"/>
        <v>Tot Int Stk</v>
      </c>
      <c r="AH37" s="4" t="str">
        <f t="shared" si="2"/>
        <v>Bonds</v>
      </c>
      <c r="AI37" s="4"/>
      <c r="AJ37" t="s">
        <v>89</v>
      </c>
    </row>
    <row r="38" spans="1:36"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5" t="s">
        <v>88</v>
      </c>
      <c r="AA38" t="str">
        <f>A38</f>
        <v>Fund</v>
      </c>
      <c r="AB38" s="4" t="str">
        <f t="shared" si="2"/>
        <v>VFINX</v>
      </c>
      <c r="AC38" s="4" t="str">
        <f t="shared" si="2"/>
        <v>VEXMX</v>
      </c>
      <c r="AD38" s="4" t="str">
        <f t="shared" si="2"/>
        <v>VIMSX</v>
      </c>
      <c r="AE38" s="4" t="str">
        <f t="shared" si="2"/>
        <v>NAESX</v>
      </c>
      <c r="AF38" s="4" t="str">
        <f t="shared" si="2"/>
        <v>VTRIX</v>
      </c>
      <c r="AG38" s="4" t="str">
        <f t="shared" si="2"/>
        <v>VGTSX</v>
      </c>
      <c r="AH38" s="4" t="str">
        <f t="shared" si="2"/>
        <v>VBMFX</v>
      </c>
      <c r="AI38" s="4" t="str">
        <f>W38</f>
        <v>Total</v>
      </c>
      <c r="AJ38" t="s">
        <v>88</v>
      </c>
    </row>
    <row r="39" spans="1:36" x14ac:dyDescent="0.25">
      <c r="A39" t="s">
        <v>72</v>
      </c>
      <c r="B39" s="2">
        <f>'Non-Rebalanced Portfolio'!B39</f>
        <v>20000</v>
      </c>
      <c r="C39" s="2">
        <f>'Non-Rebalanced Portfolio'!C39</f>
        <v>30000</v>
      </c>
      <c r="F39" s="2">
        <f>'Non-Rebalanced Portfolio'!F39</f>
        <v>20000</v>
      </c>
      <c r="H39" s="2">
        <f>'Non-Rebalanced Portfolio'!H39</f>
        <v>30000</v>
      </c>
      <c r="I39" s="2">
        <f>SUM(B39:H39)</f>
        <v>100000</v>
      </c>
      <c r="O39" s="21" t="s">
        <v>87</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4"/>
      <c r="AA39" t="str">
        <f>A39</f>
        <v>Stating Balance</v>
      </c>
      <c r="AB39" s="2">
        <f t="shared" ref="AB39:AB48" si="3">B39</f>
        <v>20000</v>
      </c>
      <c r="AC39" s="2">
        <f t="shared" ref="AC39:AC45" si="4">C39</f>
        <v>30000</v>
      </c>
      <c r="AD39" s="2"/>
      <c r="AE39" s="2"/>
      <c r="AF39" s="2">
        <f t="shared" ref="AF39:AG46" si="5">F39</f>
        <v>20000</v>
      </c>
      <c r="AG39" s="2"/>
      <c r="AH39" s="2">
        <f t="shared" ref="AH39:AH48" si="6">H39</f>
        <v>30000</v>
      </c>
      <c r="AI39" s="2">
        <f>SUM(AB39:AH39)</f>
        <v>100000</v>
      </c>
      <c r="AJ39" s="2">
        <f t="shared" ref="AJ39:AJ64" si="7">AI39-I39</f>
        <v>0</v>
      </c>
    </row>
    <row r="40" spans="1:36" x14ac:dyDescent="0.25">
      <c r="A40">
        <f t="shared" ref="A40:A64" si="8">A4</f>
        <v>1993</v>
      </c>
      <c r="B40" s="2">
        <f t="shared" ref="B40" si="9">B39*(1+(B4/100))</f>
        <v>21978</v>
      </c>
      <c r="C40" s="2">
        <f t="shared" ref="C40" si="10">C39*(1+(C4/100))</f>
        <v>34347</v>
      </c>
      <c r="D40" s="2"/>
      <c r="E40" s="2"/>
      <c r="F40" s="2">
        <f t="shared" ref="F40" si="11">F39*(1+(F4/100))</f>
        <v>26098.799999999999</v>
      </c>
      <c r="G40" s="2"/>
      <c r="H40" s="2">
        <f t="shared" ref="H40" si="12">H39*(1+(H4/100))</f>
        <v>32904</v>
      </c>
      <c r="I40" s="2">
        <f>SUM(B40:H40)</f>
        <v>115327.8</v>
      </c>
      <c r="J40" s="2">
        <f>I40-I39</f>
        <v>15327.800000000003</v>
      </c>
      <c r="K40" s="6">
        <f>(J40/I39)</f>
        <v>0.15327800000000003</v>
      </c>
      <c r="L40" s="7">
        <f>K40+1</f>
        <v>1.153278</v>
      </c>
      <c r="O40">
        <f>A40</f>
        <v>1993</v>
      </c>
      <c r="P40" s="6">
        <f t="shared" ref="P40:U64" si="13">B40/$I40</f>
        <v>0.19056983658753571</v>
      </c>
      <c r="Q40" s="6">
        <f t="shared" si="13"/>
        <v>0.29782064688652693</v>
      </c>
      <c r="R40" s="7"/>
      <c r="S40" s="7"/>
      <c r="T40" s="6">
        <f t="shared" ref="T40:T48" si="14">F40/$I40</f>
        <v>0.22630103062748097</v>
      </c>
      <c r="U40" s="7"/>
      <c r="V40" s="6">
        <f t="shared" ref="V40:V64" si="15">H40/$I40</f>
        <v>0.28530848589845637</v>
      </c>
      <c r="W40" s="6">
        <f>SUM(P40:V40)</f>
        <v>1</v>
      </c>
      <c r="X40" s="7">
        <f>SUM(P40:U40)</f>
        <v>0.71469151410154363</v>
      </c>
      <c r="Y40" s="7">
        <f>W40-(X40+V40)</f>
        <v>0</v>
      </c>
      <c r="Z40" s="24"/>
      <c r="AA40">
        <f t="shared" ref="AA40:AA64" si="16">O40</f>
        <v>1993</v>
      </c>
      <c r="AB40" s="2">
        <f t="shared" si="3"/>
        <v>21978</v>
      </c>
      <c r="AC40" s="2">
        <f t="shared" si="4"/>
        <v>34347</v>
      </c>
      <c r="AD40" s="2"/>
      <c r="AE40" s="2"/>
      <c r="AF40" s="2">
        <f t="shared" si="5"/>
        <v>26098.799999999999</v>
      </c>
      <c r="AG40" s="2"/>
      <c r="AH40" s="2">
        <f t="shared" si="6"/>
        <v>32904</v>
      </c>
      <c r="AI40" s="2">
        <f t="shared" ref="AI40:AI64" si="17">SUM(AB40:AH40)</f>
        <v>115327.8</v>
      </c>
      <c r="AJ40" s="2">
        <f t="shared" si="7"/>
        <v>0</v>
      </c>
    </row>
    <row r="41" spans="1:36" x14ac:dyDescent="0.25">
      <c r="A41">
        <f t="shared" si="8"/>
        <v>1994</v>
      </c>
      <c r="B41" s="2">
        <f t="shared" ref="B41:B50" si="18">AB40*(1+(B5/100))</f>
        <v>22237.340400000001</v>
      </c>
      <c r="C41" s="2">
        <f t="shared" ref="C41:C45" si="19">AC40*(1+(C5/100))</f>
        <v>33741.118920000001</v>
      </c>
      <c r="D41" s="2"/>
      <c r="E41" s="2"/>
      <c r="F41" s="2">
        <f t="shared" ref="F41:F43" si="20">AF40*(1+(F5/100))</f>
        <v>27470.291940000003</v>
      </c>
      <c r="G41" s="2"/>
      <c r="H41" s="2">
        <f t="shared" ref="H41:H64" si="21">AH40*(1+(H5/100))</f>
        <v>32028.7536</v>
      </c>
      <c r="I41" s="2">
        <f t="shared" ref="I41:I64" si="22">SUM(B41:H41)</f>
        <v>115477.50486</v>
      </c>
      <c r="J41" s="2">
        <f t="shared" ref="J41:J64" si="23">I41-I40</f>
        <v>149.70485999999801</v>
      </c>
      <c r="K41" s="6">
        <f t="shared" ref="K41:K64" si="24">(J41/I40)</f>
        <v>1.2980812952297538E-3</v>
      </c>
      <c r="L41" s="7">
        <f t="shared" ref="L41:L64" si="25">K41+1</f>
        <v>1.0012980812952297</v>
      </c>
      <c r="O41">
        <f t="shared" ref="O41:O64" si="26">A41</f>
        <v>1994</v>
      </c>
      <c r="P41" s="6">
        <f t="shared" si="13"/>
        <v>0.19256859097327747</v>
      </c>
      <c r="Q41" s="6">
        <f t="shared" si="13"/>
        <v>0.29218780714829518</v>
      </c>
      <c r="R41" s="7"/>
      <c r="S41" s="7"/>
      <c r="T41" s="6">
        <f t="shared" si="14"/>
        <v>0.23788435655328552</v>
      </c>
      <c r="U41" s="7"/>
      <c r="V41" s="6">
        <f t="shared" si="15"/>
        <v>0.27735924532514183</v>
      </c>
      <c r="W41" s="6">
        <f t="shared" ref="W41:W64" si="27">SUM(P41:V41)</f>
        <v>1</v>
      </c>
      <c r="X41" s="7">
        <f t="shared" ref="X41:X64" si="28">SUM(P41:U41)</f>
        <v>0.72264075467485822</v>
      </c>
      <c r="Y41" s="7">
        <f t="shared" ref="Y41:Y64" si="29">W41-(X41+V41)</f>
        <v>0</v>
      </c>
      <c r="Z41" s="24"/>
      <c r="AA41">
        <f t="shared" si="16"/>
        <v>1994</v>
      </c>
      <c r="AB41" s="2">
        <f t="shared" si="3"/>
        <v>22237.340400000001</v>
      </c>
      <c r="AC41" s="2">
        <f t="shared" si="4"/>
        <v>33741.118920000001</v>
      </c>
      <c r="AD41" s="2"/>
      <c r="AE41" s="2"/>
      <c r="AF41" s="2">
        <f t="shared" si="5"/>
        <v>27470.291940000003</v>
      </c>
      <c r="AG41" s="2"/>
      <c r="AH41" s="2">
        <f t="shared" si="6"/>
        <v>32028.7536</v>
      </c>
      <c r="AI41" s="2">
        <f t="shared" si="17"/>
        <v>115477.50486</v>
      </c>
      <c r="AJ41" s="2">
        <f t="shared" si="7"/>
        <v>0</v>
      </c>
    </row>
    <row r="42" spans="1:36" x14ac:dyDescent="0.25">
      <c r="A42">
        <f t="shared" si="8"/>
        <v>1995</v>
      </c>
      <c r="B42" s="2">
        <f t="shared" si="18"/>
        <v>30565.224379800002</v>
      </c>
      <c r="C42" s="2">
        <f t="shared" si="19"/>
        <v>45144.604881392399</v>
      </c>
      <c r="D42" s="2"/>
      <c r="E42" s="2"/>
      <c r="F42" s="2">
        <f t="shared" si="20"/>
        <v>30120.076300532404</v>
      </c>
      <c r="G42" s="2"/>
      <c r="H42" s="2">
        <f t="shared" si="21"/>
        <v>37851.581004480002</v>
      </c>
      <c r="I42" s="2">
        <f t="shared" si="22"/>
        <v>143681.48656620481</v>
      </c>
      <c r="J42" s="2">
        <f t="shared" si="23"/>
        <v>28203.98170620481</v>
      </c>
      <c r="K42" s="6">
        <f t="shared" si="24"/>
        <v>0.24423788633464252</v>
      </c>
      <c r="L42" s="7">
        <f t="shared" si="25"/>
        <v>1.2442378863346426</v>
      </c>
      <c r="O42">
        <f t="shared" si="26"/>
        <v>1995</v>
      </c>
      <c r="P42" s="6">
        <f t="shared" si="13"/>
        <v>0.21272903775056862</v>
      </c>
      <c r="Q42" s="6">
        <f t="shared" si="13"/>
        <v>0.31419917736298547</v>
      </c>
      <c r="R42" s="7"/>
      <c r="S42" s="7"/>
      <c r="T42" s="6">
        <f t="shared" si="14"/>
        <v>0.20963087883040402</v>
      </c>
      <c r="U42" s="7"/>
      <c r="V42" s="6">
        <f t="shared" si="15"/>
        <v>0.26344090605604187</v>
      </c>
      <c r="W42" s="6">
        <f t="shared" si="27"/>
        <v>1</v>
      </c>
      <c r="X42" s="7">
        <f t="shared" si="28"/>
        <v>0.73655909394395813</v>
      </c>
      <c r="Y42" s="7">
        <f t="shared" si="29"/>
        <v>0</v>
      </c>
      <c r="Z42" s="24"/>
      <c r="AA42">
        <f t="shared" si="16"/>
        <v>1995</v>
      </c>
      <c r="AB42" s="2">
        <f t="shared" si="3"/>
        <v>30565.224379800002</v>
      </c>
      <c r="AC42" s="2">
        <f t="shared" si="4"/>
        <v>45144.604881392399</v>
      </c>
      <c r="AD42" s="2"/>
      <c r="AE42" s="2"/>
      <c r="AF42" s="2">
        <f t="shared" si="5"/>
        <v>30120.076300532404</v>
      </c>
      <c r="AG42" s="2"/>
      <c r="AH42" s="2">
        <f t="shared" si="6"/>
        <v>37851.581004480002</v>
      </c>
      <c r="AI42" s="2">
        <f t="shared" si="17"/>
        <v>143681.48656620481</v>
      </c>
      <c r="AJ42" s="2">
        <f t="shared" si="7"/>
        <v>0</v>
      </c>
    </row>
    <row r="43" spans="1:36" x14ac:dyDescent="0.25">
      <c r="A43">
        <f t="shared" si="8"/>
        <v>1996</v>
      </c>
      <c r="B43" s="2">
        <f t="shared" si="18"/>
        <v>37558.547717898247</v>
      </c>
      <c r="C43" s="2">
        <f t="shared" si="19"/>
        <v>53111.273304811708</v>
      </c>
      <c r="D43" s="2"/>
      <c r="E43" s="2"/>
      <c r="F43" s="2">
        <f t="shared" si="20"/>
        <v>33198.046897683809</v>
      </c>
      <c r="G43" s="2"/>
      <c r="H43" s="2">
        <f t="shared" si="21"/>
        <v>39206.667604440387</v>
      </c>
      <c r="I43" s="2">
        <f t="shared" si="22"/>
        <v>163074.53552483415</v>
      </c>
      <c r="J43" s="2">
        <f t="shared" si="23"/>
        <v>19393.048958629341</v>
      </c>
      <c r="K43" s="6">
        <f t="shared" si="24"/>
        <v>0.13497249661106139</v>
      </c>
      <c r="L43" s="7">
        <f t="shared" si="25"/>
        <v>1.1349724966110615</v>
      </c>
      <c r="O43">
        <f t="shared" si="26"/>
        <v>1996</v>
      </c>
      <c r="P43" s="6">
        <f t="shared" si="13"/>
        <v>0.23031522117797823</v>
      </c>
      <c r="Q43" s="6">
        <f t="shared" si="13"/>
        <v>0.32568710457386857</v>
      </c>
      <c r="R43" s="7"/>
      <c r="S43" s="7"/>
      <c r="T43" s="6">
        <f t="shared" si="14"/>
        <v>0.20357590957312999</v>
      </c>
      <c r="U43" s="7"/>
      <c r="V43" s="6">
        <f t="shared" si="15"/>
        <v>0.24042176467502319</v>
      </c>
      <c r="W43" s="6">
        <f t="shared" si="27"/>
        <v>1</v>
      </c>
      <c r="X43" s="7">
        <f t="shared" si="28"/>
        <v>0.75957823532497681</v>
      </c>
      <c r="Y43" s="7">
        <f t="shared" si="29"/>
        <v>0</v>
      </c>
      <c r="Z43" s="24"/>
      <c r="AA43">
        <f t="shared" si="16"/>
        <v>1996</v>
      </c>
      <c r="AB43" s="2">
        <f t="shared" si="3"/>
        <v>37558.547717898247</v>
      </c>
      <c r="AC43" s="2">
        <f t="shared" si="4"/>
        <v>53111.273304811708</v>
      </c>
      <c r="AD43" s="2"/>
      <c r="AE43" s="2"/>
      <c r="AF43" s="2">
        <f t="shared" si="5"/>
        <v>33198.046897683809</v>
      </c>
      <c r="AG43" s="2"/>
      <c r="AH43" s="2">
        <f t="shared" si="6"/>
        <v>39206.667604440387</v>
      </c>
      <c r="AI43" s="2">
        <f t="shared" si="17"/>
        <v>163074.53552483415</v>
      </c>
      <c r="AJ43" s="2">
        <f t="shared" si="7"/>
        <v>0</v>
      </c>
    </row>
    <row r="44" spans="1:36" x14ac:dyDescent="0.25">
      <c r="A44">
        <f t="shared" si="8"/>
        <v>1997</v>
      </c>
      <c r="B44" s="2">
        <f t="shared" si="18"/>
        <v>50024.229705468679</v>
      </c>
      <c r="C44" s="2">
        <f t="shared" si="19"/>
        <v>67285.078811666812</v>
      </c>
      <c r="D44" s="2"/>
      <c r="E44" s="2"/>
      <c r="F44" s="2"/>
      <c r="G44" s="2">
        <f>AF43*(1+(G8/100))</f>
        <v>33198.046897683809</v>
      </c>
      <c r="H44" s="2">
        <f t="shared" si="21"/>
        <v>42907.777026299562</v>
      </c>
      <c r="I44" s="2">
        <f t="shared" si="22"/>
        <v>193415.13244111885</v>
      </c>
      <c r="J44" s="2">
        <f t="shared" si="23"/>
        <v>30340.596916284703</v>
      </c>
      <c r="K44" s="6">
        <f t="shared" si="24"/>
        <v>0.18605355409192148</v>
      </c>
      <c r="L44" s="7">
        <f t="shared" si="25"/>
        <v>1.1860535540919215</v>
      </c>
      <c r="O44">
        <f t="shared" si="26"/>
        <v>1997</v>
      </c>
      <c r="P44" s="6">
        <f t="shared" si="13"/>
        <v>0.25863658687976493</v>
      </c>
      <c r="Q44" s="6">
        <f t="shared" si="13"/>
        <v>0.34787908248156502</v>
      </c>
      <c r="R44" s="7"/>
      <c r="S44" s="7"/>
      <c r="T44" s="6">
        <f t="shared" si="14"/>
        <v>0</v>
      </c>
      <c r="U44" s="7"/>
      <c r="V44" s="6">
        <f t="shared" si="15"/>
        <v>0.22184291624318447</v>
      </c>
      <c r="W44" s="6">
        <f t="shared" si="27"/>
        <v>0.82835858560451436</v>
      </c>
      <c r="X44" s="7">
        <f t="shared" si="28"/>
        <v>0.60651566936132995</v>
      </c>
      <c r="Y44" s="7">
        <f t="shared" si="29"/>
        <v>0</v>
      </c>
      <c r="Z44" s="24"/>
      <c r="AA44">
        <f t="shared" si="16"/>
        <v>1997</v>
      </c>
      <c r="AB44" s="2">
        <f t="shared" si="3"/>
        <v>50024.229705468679</v>
      </c>
      <c r="AC44" s="2">
        <f t="shared" si="4"/>
        <v>67285.078811666812</v>
      </c>
      <c r="AD44" s="2"/>
      <c r="AE44" s="2"/>
      <c r="AF44" s="2">
        <f t="shared" si="5"/>
        <v>0</v>
      </c>
      <c r="AG44" s="2">
        <f>G44</f>
        <v>33198.046897683809</v>
      </c>
      <c r="AH44" s="2">
        <f t="shared" si="6"/>
        <v>42907.777026299562</v>
      </c>
      <c r="AI44" s="2">
        <f t="shared" si="17"/>
        <v>193415.13244111885</v>
      </c>
      <c r="AJ44" s="2">
        <f t="shared" si="7"/>
        <v>0</v>
      </c>
    </row>
    <row r="45" spans="1:36" x14ac:dyDescent="0.25">
      <c r="A45">
        <f t="shared" si="8"/>
        <v>1998</v>
      </c>
      <c r="B45" s="2">
        <f t="shared" si="18"/>
        <v>64361.173939056003</v>
      </c>
      <c r="C45" s="2">
        <f t="shared" si="19"/>
        <v>72905.401444805349</v>
      </c>
      <c r="D45" s="2"/>
      <c r="E45" s="2"/>
      <c r="F45" s="2"/>
      <c r="G45" s="2">
        <f t="shared" ref="G45:G64" si="30">AG44*(1+(G9/100))</f>
        <v>38377.938155129414</v>
      </c>
      <c r="H45" s="2">
        <f t="shared" si="21"/>
        <v>46589.26429515607</v>
      </c>
      <c r="I45" s="2">
        <f t="shared" si="22"/>
        <v>222233.77783414681</v>
      </c>
      <c r="J45" s="2">
        <f t="shared" si="23"/>
        <v>28818.645393027953</v>
      </c>
      <c r="K45" s="6">
        <f t="shared" si="24"/>
        <v>0.14899891766121856</v>
      </c>
      <c r="L45" s="7">
        <f t="shared" si="25"/>
        <v>1.1489989176612185</v>
      </c>
      <c r="O45">
        <f t="shared" si="26"/>
        <v>1998</v>
      </c>
      <c r="P45" s="6">
        <f t="shared" si="13"/>
        <v>0.28961022292069744</v>
      </c>
      <c r="Q45" s="6">
        <f t="shared" si="13"/>
        <v>0.32805724744154191</v>
      </c>
      <c r="R45" s="7"/>
      <c r="S45" s="7"/>
      <c r="T45" s="6">
        <f t="shared" si="14"/>
        <v>0</v>
      </c>
      <c r="U45" s="7"/>
      <c r="V45" s="6">
        <f t="shared" si="15"/>
        <v>0.20964078795405108</v>
      </c>
      <c r="W45" s="6">
        <f t="shared" si="27"/>
        <v>0.8273082583162904</v>
      </c>
      <c r="X45" s="7">
        <f t="shared" si="28"/>
        <v>0.61766747036223935</v>
      </c>
      <c r="Y45" s="7">
        <f t="shared" si="29"/>
        <v>0</v>
      </c>
      <c r="Z45" s="24"/>
      <c r="AA45">
        <f t="shared" si="16"/>
        <v>1998</v>
      </c>
      <c r="AB45" s="2">
        <f t="shared" si="3"/>
        <v>64361.173939056003</v>
      </c>
      <c r="AC45" s="2">
        <f t="shared" si="4"/>
        <v>72905.401444805349</v>
      </c>
      <c r="AD45" s="2"/>
      <c r="AE45" s="2"/>
      <c r="AF45" s="2"/>
      <c r="AG45" s="2">
        <f t="shared" si="5"/>
        <v>38377.938155129414</v>
      </c>
      <c r="AH45" s="2">
        <f t="shared" si="6"/>
        <v>46589.26429515607</v>
      </c>
      <c r="AI45" s="2">
        <f t="shared" si="17"/>
        <v>222233.77783414681</v>
      </c>
      <c r="AJ45" s="2">
        <f t="shared" si="7"/>
        <v>0</v>
      </c>
    </row>
    <row r="46" spans="1:36" x14ac:dyDescent="0.25">
      <c r="A46">
        <f t="shared" si="8"/>
        <v>1999</v>
      </c>
      <c r="B46" s="2">
        <f t="shared" si="18"/>
        <v>77922.073288015104</v>
      </c>
      <c r="C46" s="2"/>
      <c r="D46" s="2">
        <f>($AC45*0.67)*(1+(D10/100))</f>
        <v>48846.618968019589</v>
      </c>
      <c r="E46" s="2">
        <f>($AC45*0.33)*(1+(E10/100))</f>
        <v>24058.782476785767</v>
      </c>
      <c r="F46" s="2"/>
      <c r="G46" s="2">
        <f t="shared" si="30"/>
        <v>49860.233471762585</v>
      </c>
      <c r="H46" s="2">
        <f t="shared" si="21"/>
        <v>46235.185886512882</v>
      </c>
      <c r="I46" s="2">
        <f t="shared" si="22"/>
        <v>246922.89409109595</v>
      </c>
      <c r="J46" s="2">
        <f t="shared" si="23"/>
        <v>24689.116256949143</v>
      </c>
      <c r="K46" s="6">
        <f t="shared" si="24"/>
        <v>0.11109524617528954</v>
      </c>
      <c r="L46" s="7">
        <f t="shared" si="25"/>
        <v>1.1110952461752897</v>
      </c>
      <c r="O46">
        <f t="shared" si="26"/>
        <v>1999</v>
      </c>
      <c r="P46" s="6">
        <f t="shared" si="13"/>
        <v>0.31557249308469443</v>
      </c>
      <c r="Q46" s="6">
        <f t="shared" si="13"/>
        <v>0</v>
      </c>
      <c r="R46" s="7"/>
      <c r="S46" s="7"/>
      <c r="T46" s="6">
        <f t="shared" si="14"/>
        <v>0</v>
      </c>
      <c r="U46" s="7"/>
      <c r="V46" s="6">
        <f t="shared" si="15"/>
        <v>0.1872454397422362</v>
      </c>
      <c r="W46" s="6">
        <f t="shared" si="27"/>
        <v>0.50281793282693066</v>
      </c>
      <c r="X46" s="7">
        <f t="shared" si="28"/>
        <v>0.31557249308469443</v>
      </c>
      <c r="Y46" s="7">
        <f t="shared" si="29"/>
        <v>0</v>
      </c>
      <c r="Z46" s="24"/>
      <c r="AA46">
        <f t="shared" si="16"/>
        <v>1999</v>
      </c>
      <c r="AB46" s="2">
        <f t="shared" si="3"/>
        <v>77922.073288015104</v>
      </c>
      <c r="AC46" s="2"/>
      <c r="AD46" s="2">
        <f t="shared" ref="AD46:AD47" si="31">D46</f>
        <v>48846.618968019589</v>
      </c>
      <c r="AE46" s="2">
        <f t="shared" ref="AE46:AE47" si="32">E46</f>
        <v>24058.782476785767</v>
      </c>
      <c r="AF46" s="2"/>
      <c r="AG46" s="2">
        <f t="shared" si="5"/>
        <v>49860.233471762585</v>
      </c>
      <c r="AH46" s="2">
        <f t="shared" si="6"/>
        <v>46235.185886512882</v>
      </c>
      <c r="AI46" s="2">
        <f t="shared" si="17"/>
        <v>246922.89409109595</v>
      </c>
      <c r="AJ46" s="2">
        <f t="shared" si="7"/>
        <v>0</v>
      </c>
    </row>
    <row r="47" spans="1:36" x14ac:dyDescent="0.25">
      <c r="A47">
        <f t="shared" si="8"/>
        <v>2000</v>
      </c>
      <c r="B47" s="2">
        <f t="shared" si="18"/>
        <v>70862.333448120931</v>
      </c>
      <c r="C47" s="2"/>
      <c r="D47" s="2">
        <f t="shared" ref="D47" si="33">AD46*(1+(D11/100))</f>
        <v>57686.880068851773</v>
      </c>
      <c r="E47" s="2">
        <f t="shared" ref="E47" si="34">AE46*(1+(E11/100))</f>
        <v>23417.615923779427</v>
      </c>
      <c r="F47" s="2"/>
      <c r="G47" s="2">
        <f t="shared" si="30"/>
        <v>42075.056617481576</v>
      </c>
      <c r="H47" s="2">
        <f t="shared" si="21"/>
        <v>51501.373558986706</v>
      </c>
      <c r="I47" s="2">
        <f t="shared" si="22"/>
        <v>245543.25961722041</v>
      </c>
      <c r="J47" s="2">
        <f t="shared" si="23"/>
        <v>-1379.6344738755433</v>
      </c>
      <c r="K47" s="6">
        <f t="shared" si="24"/>
        <v>-5.5873088599332635E-3</v>
      </c>
      <c r="L47" s="7">
        <f t="shared" si="25"/>
        <v>0.9944126911400667</v>
      </c>
      <c r="O47">
        <f t="shared" si="26"/>
        <v>2000</v>
      </c>
      <c r="P47" s="6">
        <f t="shared" si="13"/>
        <v>0.28859408952454596</v>
      </c>
      <c r="Q47" s="6">
        <f t="shared" si="13"/>
        <v>0</v>
      </c>
      <c r="R47" s="7"/>
      <c r="S47" s="7"/>
      <c r="T47" s="6">
        <f t="shared" si="14"/>
        <v>0</v>
      </c>
      <c r="U47" s="7"/>
      <c r="V47" s="6">
        <f t="shared" si="15"/>
        <v>0.20974460320870816</v>
      </c>
      <c r="W47" s="6">
        <f t="shared" si="27"/>
        <v>0.49833869273325415</v>
      </c>
      <c r="X47" s="7">
        <f t="shared" si="28"/>
        <v>0.28859408952454596</v>
      </c>
      <c r="Y47" s="7">
        <f t="shared" si="29"/>
        <v>0</v>
      </c>
      <c r="Z47" s="24"/>
      <c r="AA47">
        <f t="shared" si="16"/>
        <v>2000</v>
      </c>
      <c r="AB47" s="2">
        <f t="shared" si="3"/>
        <v>70862.333448120931</v>
      </c>
      <c r="AC47" s="2"/>
      <c r="AD47" s="2">
        <f t="shared" si="31"/>
        <v>57686.880068851773</v>
      </c>
      <c r="AE47" s="2">
        <f t="shared" si="32"/>
        <v>23417.615923779427</v>
      </c>
      <c r="AF47" s="2"/>
      <c r="AG47" s="2">
        <f>G47</f>
        <v>42075.056617481576</v>
      </c>
      <c r="AH47" s="2">
        <f t="shared" si="6"/>
        <v>51501.373558986706</v>
      </c>
      <c r="AI47" s="2">
        <f t="shared" si="17"/>
        <v>245543.25961722041</v>
      </c>
      <c r="AJ47" s="2">
        <f t="shared" si="7"/>
        <v>0</v>
      </c>
    </row>
    <row r="48" spans="1:36" x14ac:dyDescent="0.25">
      <c r="A48">
        <f t="shared" si="8"/>
        <v>2001</v>
      </c>
      <c r="B48" s="2">
        <f t="shared" si="18"/>
        <v>62344.680967656794</v>
      </c>
      <c r="C48" s="2"/>
      <c r="D48" s="2">
        <f t="shared" ref="D48:D49" si="35">AD47*(1+(D12/100))</f>
        <v>57399.022537308199</v>
      </c>
      <c r="E48" s="2">
        <f t="shared" ref="E48:E49" si="36">AE47*(1+(E12/100))</f>
        <v>24143.562017416589</v>
      </c>
      <c r="F48" s="2"/>
      <c r="G48" s="2">
        <f t="shared" si="30"/>
        <v>33595.670457360517</v>
      </c>
      <c r="H48" s="2">
        <f t="shared" si="21"/>
        <v>55842.939350009285</v>
      </c>
      <c r="I48" s="2">
        <f t="shared" si="22"/>
        <v>233325.87532975138</v>
      </c>
      <c r="J48" s="2">
        <f t="shared" si="23"/>
        <v>-12217.384287469031</v>
      </c>
      <c r="K48" s="6">
        <f t="shared" si="24"/>
        <v>-4.9756545166480322E-2</v>
      </c>
      <c r="L48" s="7">
        <f t="shared" si="25"/>
        <v>0.95024345483351969</v>
      </c>
      <c r="O48">
        <f t="shared" si="26"/>
        <v>2001</v>
      </c>
      <c r="P48" s="6">
        <f t="shared" si="13"/>
        <v>0.2672000303418865</v>
      </c>
      <c r="Q48" s="6">
        <f t="shared" si="13"/>
        <v>0</v>
      </c>
      <c r="R48" s="7"/>
      <c r="S48" s="7"/>
      <c r="T48" s="6">
        <f t="shared" si="14"/>
        <v>0</v>
      </c>
      <c r="U48" s="6"/>
      <c r="V48" s="6">
        <f t="shared" si="15"/>
        <v>0.23933453274776487</v>
      </c>
      <c r="W48" s="6">
        <f t="shared" si="27"/>
        <v>0.50653456308965139</v>
      </c>
      <c r="X48" s="7">
        <f t="shared" si="28"/>
        <v>0.2672000303418865</v>
      </c>
      <c r="Y48" s="7">
        <f t="shared" si="29"/>
        <v>0</v>
      </c>
      <c r="Z48" s="24"/>
      <c r="AA48">
        <f t="shared" si="16"/>
        <v>2001</v>
      </c>
      <c r="AB48" s="2">
        <f t="shared" si="3"/>
        <v>62344.680967656794</v>
      </c>
      <c r="AC48" s="2"/>
      <c r="AD48" s="2">
        <f t="shared" ref="AD48" si="37">D48</f>
        <v>57399.022537308199</v>
      </c>
      <c r="AE48" s="2">
        <f t="shared" ref="AE48" si="38">E48</f>
        <v>24143.562017416589</v>
      </c>
      <c r="AF48" s="2"/>
      <c r="AG48" s="2">
        <f>G48</f>
        <v>33595.670457360517</v>
      </c>
      <c r="AH48" s="2">
        <f t="shared" si="6"/>
        <v>55842.939350009285</v>
      </c>
      <c r="AI48" s="2">
        <f t="shared" si="17"/>
        <v>233325.87532975138</v>
      </c>
      <c r="AJ48" s="2">
        <f t="shared" si="7"/>
        <v>0</v>
      </c>
    </row>
    <row r="49" spans="1:36" x14ac:dyDescent="0.25">
      <c r="A49">
        <f t="shared" si="8"/>
        <v>2002</v>
      </c>
      <c r="B49" s="2">
        <f t="shared" si="18"/>
        <v>48535.334133320815</v>
      </c>
      <c r="C49" s="2"/>
      <c r="D49" s="2">
        <f t="shared" si="35"/>
        <v>49014.173325058218</v>
      </c>
      <c r="E49" s="2">
        <f t="shared" si="36"/>
        <v>19309.538030289441</v>
      </c>
      <c r="F49" s="2"/>
      <c r="G49" s="2">
        <f t="shared" si="30"/>
        <v>28528.435482276829</v>
      </c>
      <c r="H49" s="2">
        <f t="shared" si="21"/>
        <v>60455.56614032005</v>
      </c>
      <c r="I49" s="2">
        <f t="shared" si="22"/>
        <v>205843.04711126536</v>
      </c>
      <c r="J49" s="2">
        <f t="shared" si="23"/>
        <v>-27482.828218486015</v>
      </c>
      <c r="K49" s="6">
        <f t="shared" si="24"/>
        <v>-0.11778731432870651</v>
      </c>
      <c r="L49" s="7">
        <f t="shared" si="25"/>
        <v>0.88221268567129352</v>
      </c>
      <c r="O49">
        <f t="shared" si="26"/>
        <v>2002</v>
      </c>
      <c r="P49" s="6">
        <f t="shared" si="13"/>
        <v>0.23578806675498623</v>
      </c>
      <c r="Q49" s="6">
        <f t="shared" si="13"/>
        <v>0</v>
      </c>
      <c r="R49" s="7"/>
      <c r="S49" s="7"/>
      <c r="T49" s="6"/>
      <c r="U49" s="6">
        <f t="shared" si="13"/>
        <v>0.13859314600437397</v>
      </c>
      <c r="V49" s="6">
        <f t="shared" si="15"/>
        <v>0.29369739220602242</v>
      </c>
      <c r="W49" s="6">
        <f t="shared" si="27"/>
        <v>0.66807860496538263</v>
      </c>
      <c r="X49" s="7">
        <f t="shared" si="28"/>
        <v>0.3743812127593602</v>
      </c>
      <c r="Y49" s="7">
        <f t="shared" si="29"/>
        <v>0</v>
      </c>
      <c r="Z49" s="24"/>
      <c r="AA49">
        <f t="shared" si="16"/>
        <v>2002</v>
      </c>
      <c r="AB49" s="40">
        <v>0</v>
      </c>
      <c r="AC49" s="40"/>
      <c r="AD49" s="40">
        <v>0</v>
      </c>
      <c r="AE49" s="40">
        <v>0</v>
      </c>
      <c r="AF49" s="40"/>
      <c r="AG49" s="40">
        <v>0</v>
      </c>
      <c r="AH49" s="40">
        <f>I49</f>
        <v>205843.04711126536</v>
      </c>
      <c r="AI49" s="2">
        <f t="shared" si="17"/>
        <v>205843.04711126536</v>
      </c>
      <c r="AJ49" s="2">
        <f t="shared" si="7"/>
        <v>0</v>
      </c>
    </row>
    <row r="50" spans="1:36" x14ac:dyDescent="0.25">
      <c r="A50">
        <f t="shared" si="8"/>
        <v>2003</v>
      </c>
      <c r="B50" s="2">
        <f t="shared" si="18"/>
        <v>0</v>
      </c>
      <c r="C50" s="2"/>
      <c r="D50" s="2">
        <f t="shared" ref="D50:D51" si="39">AD49*(1+(D14/100))</f>
        <v>0</v>
      </c>
      <c r="E50" s="2">
        <f t="shared" ref="E50:E51" si="40">AE49*(1+(E14/100))</f>
        <v>0</v>
      </c>
      <c r="F50" s="2"/>
      <c r="G50" s="2">
        <f t="shared" si="30"/>
        <v>0</v>
      </c>
      <c r="H50" s="2">
        <f t="shared" si="21"/>
        <v>214015.01608158261</v>
      </c>
      <c r="I50" s="2">
        <f t="shared" si="22"/>
        <v>214015.01608158261</v>
      </c>
      <c r="J50" s="2">
        <f t="shared" si="23"/>
        <v>8171.968970317248</v>
      </c>
      <c r="K50" s="6">
        <f t="shared" si="24"/>
        <v>3.9700000000000062E-2</v>
      </c>
      <c r="L50" s="7">
        <f t="shared" si="25"/>
        <v>1.0397000000000001</v>
      </c>
      <c r="O50">
        <f t="shared" si="26"/>
        <v>2003</v>
      </c>
      <c r="P50" s="6">
        <f t="shared" si="13"/>
        <v>0</v>
      </c>
      <c r="Q50" s="6">
        <f t="shared" si="13"/>
        <v>0</v>
      </c>
      <c r="R50" s="7"/>
      <c r="S50" s="7"/>
      <c r="T50" s="7"/>
      <c r="U50" s="6">
        <f t="shared" si="13"/>
        <v>0</v>
      </c>
      <c r="V50" s="6">
        <f t="shared" si="15"/>
        <v>1</v>
      </c>
      <c r="W50" s="6">
        <f t="shared" si="27"/>
        <v>1</v>
      </c>
      <c r="X50" s="7">
        <f t="shared" si="28"/>
        <v>0</v>
      </c>
      <c r="Y50" s="7">
        <f t="shared" si="29"/>
        <v>0</v>
      </c>
      <c r="Z50" s="24"/>
      <c r="AA50">
        <f t="shared" si="16"/>
        <v>2003</v>
      </c>
      <c r="AB50" s="40">
        <f>$I50*P$39</f>
        <v>42803.003216316523</v>
      </c>
      <c r="AC50" s="40"/>
      <c r="AD50" s="40">
        <f>$I50*R$39</f>
        <v>42803.003216316523</v>
      </c>
      <c r="AE50" s="40">
        <f>$I50*S$39</f>
        <v>21401.501608158262</v>
      </c>
      <c r="AF50" s="40"/>
      <c r="AG50" s="40">
        <f>$I50*U$39</f>
        <v>42803.003216316523</v>
      </c>
      <c r="AH50" s="40">
        <f>$I50*V$39</f>
        <v>64204.504824474781</v>
      </c>
      <c r="AI50" s="2">
        <f t="shared" si="17"/>
        <v>214015.01608158261</v>
      </c>
      <c r="AJ50" s="2">
        <f t="shared" si="7"/>
        <v>0</v>
      </c>
    </row>
    <row r="51" spans="1:36" x14ac:dyDescent="0.25">
      <c r="A51">
        <f t="shared" si="8"/>
        <v>2004</v>
      </c>
      <c r="B51" s="2">
        <f t="shared" ref="B51:B64" si="41">AB50*(1+(B15/100))</f>
        <v>47400.045761748916</v>
      </c>
      <c r="C51" s="2"/>
      <c r="D51" s="2">
        <f t="shared" si="39"/>
        <v>51514.698460933425</v>
      </c>
      <c r="E51" s="2">
        <f t="shared" si="40"/>
        <v>25659.758383133514</v>
      </c>
      <c r="F51" s="2"/>
      <c r="G51" s="2">
        <f t="shared" si="30"/>
        <v>51721.864996500393</v>
      </c>
      <c r="H51" s="2">
        <f t="shared" si="21"/>
        <v>66926.775829032515</v>
      </c>
      <c r="I51" s="2">
        <f t="shared" si="22"/>
        <v>243223.14343134878</v>
      </c>
      <c r="J51" s="2">
        <f t="shared" si="23"/>
        <v>29208.127349766175</v>
      </c>
      <c r="K51" s="6">
        <f t="shared" si="24"/>
        <v>0.13647700000000013</v>
      </c>
      <c r="L51" s="7">
        <f t="shared" si="25"/>
        <v>1.1364770000000002</v>
      </c>
      <c r="O51">
        <f t="shared" si="26"/>
        <v>2004</v>
      </c>
      <c r="P51" s="6">
        <f t="shared" si="13"/>
        <v>0.19488295847606241</v>
      </c>
      <c r="Q51" s="7"/>
      <c r="R51" s="6">
        <f t="shared" si="13"/>
        <v>0.2118001508169545</v>
      </c>
      <c r="S51" s="6">
        <f t="shared" si="13"/>
        <v>0.1054988354361769</v>
      </c>
      <c r="T51" s="7"/>
      <c r="U51" s="6">
        <f t="shared" si="13"/>
        <v>0.21265190584587279</v>
      </c>
      <c r="V51" s="6">
        <f t="shared" si="15"/>
        <v>0.27516614942493334</v>
      </c>
      <c r="W51" s="6">
        <f t="shared" si="27"/>
        <v>0.99999999999999989</v>
      </c>
      <c r="X51" s="7">
        <f t="shared" si="28"/>
        <v>0.72483385057506655</v>
      </c>
      <c r="Y51" s="7">
        <f t="shared" si="29"/>
        <v>0</v>
      </c>
      <c r="Z51" s="24"/>
      <c r="AA51">
        <f t="shared" si="16"/>
        <v>2004</v>
      </c>
      <c r="AB51" s="2">
        <f>B51</f>
        <v>47400.045761748916</v>
      </c>
      <c r="AC51" s="2"/>
      <c r="AD51" s="2">
        <f t="shared" ref="AD51" si="42">D51</f>
        <v>51514.698460933425</v>
      </c>
      <c r="AE51" s="2">
        <f t="shared" ref="AE51" si="43">E51</f>
        <v>25659.758383133514</v>
      </c>
      <c r="AF51" s="2"/>
      <c r="AG51" s="2">
        <f t="shared" ref="AG51" si="44">G51</f>
        <v>51721.864996500393</v>
      </c>
      <c r="AH51" s="2">
        <f t="shared" ref="AH51" si="45">H51</f>
        <v>66926.775829032515</v>
      </c>
      <c r="AI51" s="2">
        <f t="shared" si="17"/>
        <v>243223.14343134878</v>
      </c>
      <c r="AJ51" s="2">
        <f t="shared" si="7"/>
        <v>0</v>
      </c>
    </row>
    <row r="52" spans="1:36" x14ac:dyDescent="0.25">
      <c r="A52">
        <f t="shared" si="8"/>
        <v>2005</v>
      </c>
      <c r="B52" s="2">
        <f t="shared" si="41"/>
        <v>49661.027944584341</v>
      </c>
      <c r="C52" s="2"/>
      <c r="D52" s="2">
        <f t="shared" ref="D52:D64" si="46">AD51*(1+(D16/100))</f>
        <v>58691.21110352606</v>
      </c>
      <c r="E52" s="2">
        <f t="shared" ref="E52:E64" si="47">AE51*(1+(E16/100))</f>
        <v>27549.086392883637</v>
      </c>
      <c r="F52" s="2"/>
      <c r="G52" s="2">
        <f t="shared" si="30"/>
        <v>59775.476595105472</v>
      </c>
      <c r="H52" s="2">
        <f t="shared" si="21"/>
        <v>68533.018448929302</v>
      </c>
      <c r="I52" s="2">
        <f t="shared" si="22"/>
        <v>264209.82048502885</v>
      </c>
      <c r="J52" s="2">
        <f t="shared" si="23"/>
        <v>20986.677053680061</v>
      </c>
      <c r="K52" s="6">
        <f t="shared" si="24"/>
        <v>8.6285691228243172E-2</v>
      </c>
      <c r="L52" s="7">
        <f t="shared" si="25"/>
        <v>1.0862856912282433</v>
      </c>
      <c r="O52">
        <f t="shared" si="26"/>
        <v>2005</v>
      </c>
      <c r="P52" s="6">
        <f t="shared" si="13"/>
        <v>0.18796056805692551</v>
      </c>
      <c r="Q52" s="7"/>
      <c r="R52" s="6">
        <f t="shared" si="13"/>
        <v>0.22213864343037065</v>
      </c>
      <c r="S52" s="6">
        <f t="shared" si="13"/>
        <v>0.10426972904455183</v>
      </c>
      <c r="T52" s="7"/>
      <c r="U52" s="6">
        <f t="shared" si="13"/>
        <v>0.22624244808679464</v>
      </c>
      <c r="V52" s="6">
        <f t="shared" si="15"/>
        <v>0.25938861138135721</v>
      </c>
      <c r="W52" s="6">
        <f t="shared" si="27"/>
        <v>0.99999999999999978</v>
      </c>
      <c r="X52" s="7">
        <f t="shared" si="28"/>
        <v>0.74061138861864262</v>
      </c>
      <c r="Y52" s="7">
        <f t="shared" si="29"/>
        <v>0</v>
      </c>
      <c r="Z52" s="24"/>
      <c r="AA52">
        <f t="shared" si="16"/>
        <v>2005</v>
      </c>
      <c r="AB52" s="2">
        <f>B52</f>
        <v>49661.027944584341</v>
      </c>
      <c r="AC52" s="2"/>
      <c r="AD52" s="2">
        <f t="shared" ref="AD52" si="48">D52</f>
        <v>58691.21110352606</v>
      </c>
      <c r="AE52" s="2">
        <f t="shared" ref="AE52" si="49">E52</f>
        <v>27549.086392883637</v>
      </c>
      <c r="AF52" s="2"/>
      <c r="AG52" s="2">
        <f t="shared" ref="AG52" si="50">G52</f>
        <v>59775.476595105472</v>
      </c>
      <c r="AH52" s="2">
        <f t="shared" ref="AH52" si="51">H52</f>
        <v>68533.018448929302</v>
      </c>
      <c r="AI52" s="2">
        <f t="shared" si="17"/>
        <v>264209.82048502885</v>
      </c>
      <c r="AJ52" s="2">
        <f t="shared" si="7"/>
        <v>0</v>
      </c>
    </row>
    <row r="53" spans="1:36" x14ac:dyDescent="0.25">
      <c r="A53">
        <f t="shared" si="8"/>
        <v>2006</v>
      </c>
      <c r="B53" s="2">
        <f t="shared" si="41"/>
        <v>57428.012715117336</v>
      </c>
      <c r="C53" s="2"/>
      <c r="D53" s="2">
        <f t="shared" si="46"/>
        <v>66671.455077272491</v>
      </c>
      <c r="E53" s="2">
        <f t="shared" si="47"/>
        <v>31862.1713585535</v>
      </c>
      <c r="F53" s="2"/>
      <c r="G53" s="2">
        <f t="shared" si="30"/>
        <v>75697.87029574372</v>
      </c>
      <c r="H53" s="2">
        <f t="shared" si="21"/>
        <v>71459.378336698588</v>
      </c>
      <c r="I53" s="2">
        <f t="shared" si="22"/>
        <v>303118.88778338564</v>
      </c>
      <c r="J53" s="2">
        <f t="shared" si="23"/>
        <v>38909.067298356793</v>
      </c>
      <c r="K53" s="6">
        <f t="shared" si="24"/>
        <v>0.14726578757340902</v>
      </c>
      <c r="L53" s="7">
        <f t="shared" si="25"/>
        <v>1.1472657875734091</v>
      </c>
      <c r="O53">
        <f t="shared" si="26"/>
        <v>2006</v>
      </c>
      <c r="P53" s="6">
        <f t="shared" si="13"/>
        <v>0.18945705803775731</v>
      </c>
      <c r="Q53" s="7"/>
      <c r="R53" s="6">
        <f t="shared" si="13"/>
        <v>0.21995150340125669</v>
      </c>
      <c r="S53" s="6">
        <f t="shared" si="13"/>
        <v>0.10511443741283057</v>
      </c>
      <c r="T53" s="7"/>
      <c r="U53" s="6">
        <f t="shared" si="13"/>
        <v>0.24972996849288659</v>
      </c>
      <c r="V53" s="6">
        <f t="shared" si="15"/>
        <v>0.23574703265526886</v>
      </c>
      <c r="W53" s="6">
        <f t="shared" si="27"/>
        <v>1</v>
      </c>
      <c r="X53" s="7">
        <f t="shared" si="28"/>
        <v>0.76425296734473114</v>
      </c>
      <c r="Y53" s="7">
        <f t="shared" si="29"/>
        <v>0</v>
      </c>
      <c r="Z53" s="24"/>
      <c r="AA53">
        <f t="shared" si="16"/>
        <v>2006</v>
      </c>
      <c r="AB53" s="2">
        <f>B53</f>
        <v>57428.012715117336</v>
      </c>
      <c r="AC53" s="2"/>
      <c r="AD53" s="2">
        <f t="shared" ref="AD53" si="52">D53</f>
        <v>66671.455077272491</v>
      </c>
      <c r="AE53" s="2">
        <f t="shared" ref="AE53" si="53">E53</f>
        <v>31862.1713585535</v>
      </c>
      <c r="AF53" s="2"/>
      <c r="AG53" s="2">
        <f t="shared" ref="AG53" si="54">G53</f>
        <v>75697.87029574372</v>
      </c>
      <c r="AH53" s="2">
        <f t="shared" ref="AH53" si="55">H53</f>
        <v>71459.378336698588</v>
      </c>
      <c r="AI53" s="2">
        <f t="shared" si="17"/>
        <v>303118.88778338564</v>
      </c>
      <c r="AJ53" s="2">
        <f t="shared" si="7"/>
        <v>0</v>
      </c>
    </row>
    <row r="54" spans="1:36" x14ac:dyDescent="0.25">
      <c r="A54">
        <f t="shared" si="8"/>
        <v>2007</v>
      </c>
      <c r="B54" s="2">
        <f t="shared" si="41"/>
        <v>60523.382600462166</v>
      </c>
      <c r="C54" s="2"/>
      <c r="D54" s="2">
        <f t="shared" si="46"/>
        <v>70685.743387475071</v>
      </c>
      <c r="E54" s="2">
        <f t="shared" si="47"/>
        <v>32230.498059458379</v>
      </c>
      <c r="F54" s="2"/>
      <c r="G54" s="2">
        <f t="shared" si="30"/>
        <v>87447.693723049058</v>
      </c>
      <c r="H54" s="2">
        <f t="shared" si="21"/>
        <v>76404.367317598124</v>
      </c>
      <c r="I54" s="2">
        <f t="shared" si="22"/>
        <v>327291.68508804281</v>
      </c>
      <c r="J54" s="2">
        <f t="shared" si="23"/>
        <v>24172.797304657171</v>
      </c>
      <c r="K54" s="6">
        <f t="shared" si="24"/>
        <v>7.9746918713727591E-2</v>
      </c>
      <c r="L54" s="7">
        <f t="shared" si="25"/>
        <v>1.0797469187137276</v>
      </c>
      <c r="O54">
        <f t="shared" si="26"/>
        <v>2007</v>
      </c>
      <c r="P54" s="6">
        <f t="shared" si="13"/>
        <v>0.18492184604134115</v>
      </c>
      <c r="Q54" s="7"/>
      <c r="R54" s="6">
        <f t="shared" si="13"/>
        <v>0.21597170538707794</v>
      </c>
      <c r="S54" s="6">
        <f t="shared" si="13"/>
        <v>9.8476372996729941E-2</v>
      </c>
      <c r="T54" s="7"/>
      <c r="U54" s="6">
        <f t="shared" si="13"/>
        <v>0.26718580919501594</v>
      </c>
      <c r="V54" s="6">
        <f t="shared" si="15"/>
        <v>0.23344426637983495</v>
      </c>
      <c r="W54" s="6">
        <f t="shared" si="27"/>
        <v>0.99999999999999989</v>
      </c>
      <c r="X54" s="7">
        <f t="shared" si="28"/>
        <v>0.76655573362016494</v>
      </c>
      <c r="Y54" s="7">
        <f t="shared" si="29"/>
        <v>0</v>
      </c>
      <c r="Z54" s="24"/>
      <c r="AA54">
        <f t="shared" si="16"/>
        <v>2007</v>
      </c>
      <c r="AB54" s="2">
        <f>B54</f>
        <v>60523.382600462166</v>
      </c>
      <c r="AC54" s="2"/>
      <c r="AD54" s="2">
        <f t="shared" ref="AD54" si="56">D54</f>
        <v>70685.743387475071</v>
      </c>
      <c r="AE54" s="2">
        <f t="shared" ref="AE54" si="57">E54</f>
        <v>32230.498059458379</v>
      </c>
      <c r="AF54" s="2"/>
      <c r="AG54" s="2">
        <f t="shared" ref="AG54" si="58">G54</f>
        <v>87447.693723049058</v>
      </c>
      <c r="AH54" s="2">
        <f t="shared" ref="AH54" si="59">H54</f>
        <v>76404.367317598124</v>
      </c>
      <c r="AI54" s="2">
        <f t="shared" si="17"/>
        <v>327291.68508804281</v>
      </c>
      <c r="AJ54" s="2">
        <f t="shared" si="7"/>
        <v>0</v>
      </c>
    </row>
    <row r="55" spans="1:36" x14ac:dyDescent="0.25">
      <c r="A55">
        <f t="shared" si="8"/>
        <v>2008</v>
      </c>
      <c r="B55" s="2">
        <f t="shared" si="41"/>
        <v>38117.626361771065</v>
      </c>
      <c r="C55" s="2"/>
      <c r="D55" s="2">
        <f t="shared" si="46"/>
        <v>41122.1380730975</v>
      </c>
      <c r="E55" s="2">
        <f t="shared" si="47"/>
        <v>20604.957409411742</v>
      </c>
      <c r="F55" s="2"/>
      <c r="G55" s="2">
        <f t="shared" si="30"/>
        <v>48882.386314247189</v>
      </c>
      <c r="H55" s="2">
        <f t="shared" si="21"/>
        <v>80262.787867136823</v>
      </c>
      <c r="I55" s="2">
        <f t="shared" si="22"/>
        <v>228989.89602566432</v>
      </c>
      <c r="J55" s="2">
        <f t="shared" si="23"/>
        <v>-98301.789062378492</v>
      </c>
      <c r="K55" s="6">
        <f t="shared" si="24"/>
        <v>-0.30034917946642886</v>
      </c>
      <c r="L55" s="7">
        <f t="shared" si="25"/>
        <v>0.69965082053357119</v>
      </c>
      <c r="O55">
        <f t="shared" si="26"/>
        <v>2008</v>
      </c>
      <c r="P55" s="6">
        <f t="shared" si="13"/>
        <v>0.16645986143204758</v>
      </c>
      <c r="Q55" s="7"/>
      <c r="R55" s="6">
        <f t="shared" si="13"/>
        <v>0.17958057882383022</v>
      </c>
      <c r="S55" s="6">
        <f t="shared" si="13"/>
        <v>8.9981950151645188E-2</v>
      </c>
      <c r="T55" s="7"/>
      <c r="U55" s="6">
        <f t="shared" si="13"/>
        <v>0.21346962098610953</v>
      </c>
      <c r="V55" s="6">
        <f t="shared" si="15"/>
        <v>0.3505079886063675</v>
      </c>
      <c r="W55" s="6">
        <f t="shared" si="27"/>
        <v>1</v>
      </c>
      <c r="X55" s="7">
        <f t="shared" si="28"/>
        <v>0.64949201139363244</v>
      </c>
      <c r="Y55" s="7">
        <f t="shared" si="29"/>
        <v>0</v>
      </c>
      <c r="Z55" s="24"/>
      <c r="AA55">
        <f t="shared" si="16"/>
        <v>2008</v>
      </c>
      <c r="AB55" s="40">
        <v>0</v>
      </c>
      <c r="AC55" s="40"/>
      <c r="AD55" s="40">
        <v>0</v>
      </c>
      <c r="AE55" s="40">
        <v>0</v>
      </c>
      <c r="AF55" s="40"/>
      <c r="AG55" s="40">
        <v>0</v>
      </c>
      <c r="AH55" s="40">
        <f>I55</f>
        <v>228989.89602566432</v>
      </c>
      <c r="AI55" s="2">
        <f t="shared" si="17"/>
        <v>228989.89602566432</v>
      </c>
      <c r="AJ55" s="2">
        <f t="shared" si="7"/>
        <v>0</v>
      </c>
    </row>
    <row r="56" spans="1:36" x14ac:dyDescent="0.25">
      <c r="A56">
        <f t="shared" si="8"/>
        <v>2009</v>
      </c>
      <c r="B56" s="2">
        <f t="shared" si="41"/>
        <v>0</v>
      </c>
      <c r="C56" s="2"/>
      <c r="D56" s="2">
        <f t="shared" si="46"/>
        <v>0</v>
      </c>
      <c r="E56" s="2">
        <f t="shared" si="47"/>
        <v>0</v>
      </c>
      <c r="F56" s="2"/>
      <c r="G56" s="2">
        <f t="shared" si="30"/>
        <v>0</v>
      </c>
      <c r="H56" s="2">
        <f t="shared" si="21"/>
        <v>242568.99685998619</v>
      </c>
      <c r="I56" s="2">
        <f t="shared" si="22"/>
        <v>242568.99685998619</v>
      </c>
      <c r="J56" s="2">
        <f>I56-I55</f>
        <v>13579.100834321871</v>
      </c>
      <c r="K56" s="6">
        <f>(J56/I55)</f>
        <v>5.9299999999999901E-2</v>
      </c>
      <c r="L56" s="7">
        <f t="shared" si="25"/>
        <v>1.0592999999999999</v>
      </c>
      <c r="O56">
        <f t="shared" si="26"/>
        <v>2009</v>
      </c>
      <c r="P56" s="6">
        <f t="shared" si="13"/>
        <v>0</v>
      </c>
      <c r="Q56" s="7"/>
      <c r="R56" s="6">
        <f t="shared" si="13"/>
        <v>0</v>
      </c>
      <c r="S56" s="6">
        <f t="shared" si="13"/>
        <v>0</v>
      </c>
      <c r="T56" s="7"/>
      <c r="U56" s="6">
        <f t="shared" si="13"/>
        <v>0</v>
      </c>
      <c r="V56" s="6">
        <f t="shared" si="15"/>
        <v>1</v>
      </c>
      <c r="W56" s="6">
        <f t="shared" si="27"/>
        <v>1</v>
      </c>
      <c r="X56" s="7">
        <f t="shared" si="28"/>
        <v>0</v>
      </c>
      <c r="Y56" s="7">
        <f t="shared" si="29"/>
        <v>0</v>
      </c>
      <c r="Z56" s="24"/>
      <c r="AA56">
        <f t="shared" si="16"/>
        <v>2009</v>
      </c>
      <c r="AB56" s="40">
        <f>$I56*P$39</f>
        <v>48513.799371997244</v>
      </c>
      <c r="AC56" s="40"/>
      <c r="AD56" s="40">
        <f>$I56*R$39</f>
        <v>48513.799371997244</v>
      </c>
      <c r="AE56" s="40">
        <f>$I56*S$39</f>
        <v>24256.899685998622</v>
      </c>
      <c r="AF56" s="40"/>
      <c r="AG56" s="40">
        <f>$I56*U$39</f>
        <v>48513.799371997244</v>
      </c>
      <c r="AH56" s="40">
        <f>$I56*V$39</f>
        <v>72770.699057995851</v>
      </c>
      <c r="AI56" s="2">
        <f t="shared" si="17"/>
        <v>242568.99685998622</v>
      </c>
      <c r="AJ56" s="2">
        <f t="shared" si="7"/>
        <v>0</v>
      </c>
    </row>
    <row r="57" spans="1:36" x14ac:dyDescent="0.25">
      <c r="A57">
        <f t="shared" si="8"/>
        <v>2010</v>
      </c>
      <c r="B57" s="2">
        <f t="shared" si="41"/>
        <v>55747.206858362035</v>
      </c>
      <c r="C57" s="2"/>
      <c r="D57" s="2">
        <f t="shared" si="46"/>
        <v>60865.41269210774</v>
      </c>
      <c r="E57" s="2">
        <f t="shared" si="47"/>
        <v>30980.912278957443</v>
      </c>
      <c r="F57" s="2"/>
      <c r="G57" s="2">
        <f t="shared" si="30"/>
        <v>53908.533862163335</v>
      </c>
      <c r="H57" s="2">
        <f t="shared" si="21"/>
        <v>77442.577937519192</v>
      </c>
      <c r="I57" s="2">
        <f t="shared" si="22"/>
        <v>278944.64362910972</v>
      </c>
      <c r="J57" s="2">
        <f t="shared" si="23"/>
        <v>36375.64676912353</v>
      </c>
      <c r="K57" s="6">
        <f t="shared" si="24"/>
        <v>0.14996000000000001</v>
      </c>
      <c r="L57" s="7">
        <f t="shared" si="25"/>
        <v>1.1499600000000001</v>
      </c>
      <c r="O57">
        <f t="shared" si="26"/>
        <v>2010</v>
      </c>
      <c r="P57" s="6">
        <f t="shared" si="13"/>
        <v>0.19985042958015933</v>
      </c>
      <c r="Q57" s="7"/>
      <c r="R57" s="6">
        <f t="shared" si="13"/>
        <v>0.21819889387456956</v>
      </c>
      <c r="S57" s="6">
        <f t="shared" si="13"/>
        <v>0.11106473268635433</v>
      </c>
      <c r="T57" s="7"/>
      <c r="U57" s="6">
        <f t="shared" si="13"/>
        <v>0.19325889596159868</v>
      </c>
      <c r="V57" s="6">
        <f t="shared" si="15"/>
        <v>0.27762704789731818</v>
      </c>
      <c r="W57" s="6">
        <f t="shared" si="27"/>
        <v>1</v>
      </c>
      <c r="X57" s="7">
        <f t="shared" si="28"/>
        <v>0.72237295210268182</v>
      </c>
      <c r="Y57" s="7">
        <f t="shared" si="29"/>
        <v>0</v>
      </c>
      <c r="Z57" s="24"/>
      <c r="AA57">
        <f t="shared" si="16"/>
        <v>2010</v>
      </c>
      <c r="AB57" s="2">
        <f t="shared" ref="AB57" si="60">B57</f>
        <v>55747.206858362035</v>
      </c>
      <c r="AC57" s="2"/>
      <c r="AD57" s="2">
        <f t="shared" ref="AD57" si="61">D57</f>
        <v>60865.41269210774</v>
      </c>
      <c r="AE57" s="2">
        <f t="shared" ref="AE57" si="62">E57</f>
        <v>30980.912278957443</v>
      </c>
      <c r="AF57" s="2"/>
      <c r="AG57" s="2">
        <f t="shared" ref="AG57" si="63">G57</f>
        <v>53908.533862163335</v>
      </c>
      <c r="AH57" s="2">
        <f t="shared" ref="AH57" si="64">H57</f>
        <v>77442.577937519192</v>
      </c>
      <c r="AI57" s="2">
        <f t="shared" si="17"/>
        <v>278944.64362910972</v>
      </c>
      <c r="AJ57" s="2">
        <f t="shared" si="7"/>
        <v>0</v>
      </c>
    </row>
    <row r="58" spans="1:36" x14ac:dyDescent="0.25">
      <c r="A58">
        <f t="shared" si="8"/>
        <v>2011</v>
      </c>
      <c r="B58" s="2">
        <f t="shared" si="41"/>
        <v>56845.426833471771</v>
      </c>
      <c r="C58" s="2"/>
      <c r="D58" s="2">
        <f t="shared" si="46"/>
        <v>59581.152484304264</v>
      </c>
      <c r="E58" s="2">
        <f t="shared" si="47"/>
        <v>30113.446735146634</v>
      </c>
      <c r="F58" s="2"/>
      <c r="G58" s="2">
        <f t="shared" si="30"/>
        <v>46059.451331832359</v>
      </c>
      <c r="H58" s="2">
        <f t="shared" si="21"/>
        <v>83297.236829595655</v>
      </c>
      <c r="I58" s="2">
        <f t="shared" si="22"/>
        <v>275896.71421435068</v>
      </c>
      <c r="J58" s="2">
        <f t="shared" si="23"/>
        <v>-3047.9294147590408</v>
      </c>
      <c r="K58" s="6">
        <f t="shared" si="24"/>
        <v>-1.0926646144213573E-2</v>
      </c>
      <c r="L58" s="7">
        <f t="shared" si="25"/>
        <v>0.98907335385578643</v>
      </c>
      <c r="O58">
        <f t="shared" si="26"/>
        <v>2011</v>
      </c>
      <c r="P58" s="6">
        <f t="shared" si="13"/>
        <v>0.20603879605940945</v>
      </c>
      <c r="Q58" s="7"/>
      <c r="R58" s="6">
        <f t="shared" si="13"/>
        <v>0.21595455623300486</v>
      </c>
      <c r="S58" s="6">
        <f t="shared" si="13"/>
        <v>0.1091475366819729</v>
      </c>
      <c r="T58" s="7"/>
      <c r="U58" s="6">
        <f t="shared" si="13"/>
        <v>0.16694454467496006</v>
      </c>
      <c r="V58" s="6">
        <f t="shared" si="15"/>
        <v>0.30191456635065272</v>
      </c>
      <c r="W58" s="6">
        <f t="shared" si="27"/>
        <v>0.99999999999999989</v>
      </c>
      <c r="X58" s="7">
        <f t="shared" si="28"/>
        <v>0.69808543364934716</v>
      </c>
      <c r="Y58" s="7">
        <f t="shared" si="29"/>
        <v>0</v>
      </c>
      <c r="Z58" s="24"/>
      <c r="AA58">
        <f t="shared" si="16"/>
        <v>2011</v>
      </c>
      <c r="AB58" s="2">
        <f t="shared" ref="AB58" si="65">B58</f>
        <v>56845.426833471771</v>
      </c>
      <c r="AC58" s="2"/>
      <c r="AD58" s="2">
        <f t="shared" ref="AD58" si="66">D58</f>
        <v>59581.152484304264</v>
      </c>
      <c r="AE58" s="2">
        <f t="shared" ref="AE58" si="67">E58</f>
        <v>30113.446735146634</v>
      </c>
      <c r="AF58" s="2"/>
      <c r="AG58" s="2">
        <f t="shared" ref="AG58" si="68">G58</f>
        <v>46059.451331832359</v>
      </c>
      <c r="AH58" s="2">
        <f t="shared" ref="AH58" si="69">H58</f>
        <v>83297.236829595655</v>
      </c>
      <c r="AI58" s="2">
        <f t="shared" si="17"/>
        <v>275896.71421435068</v>
      </c>
      <c r="AJ58" s="2">
        <f t="shared" si="7"/>
        <v>0</v>
      </c>
    </row>
    <row r="59" spans="1:36" x14ac:dyDescent="0.25">
      <c r="A59">
        <f t="shared" si="8"/>
        <v>2012</v>
      </c>
      <c r="B59" s="2">
        <f t="shared" si="41"/>
        <v>65838.373358526995</v>
      </c>
      <c r="C59" s="2"/>
      <c r="D59" s="2">
        <f t="shared" si="46"/>
        <v>68994.97457682433</v>
      </c>
      <c r="E59" s="2">
        <f t="shared" si="47"/>
        <v>35545.912526167092</v>
      </c>
      <c r="F59" s="2"/>
      <c r="G59" s="2">
        <f t="shared" si="30"/>
        <v>54414.635803426747</v>
      </c>
      <c r="H59" s="2">
        <f t="shared" si="21"/>
        <v>86670.774921194272</v>
      </c>
      <c r="I59" s="2">
        <f t="shared" si="22"/>
        <v>311464.67118613946</v>
      </c>
      <c r="J59" s="2">
        <f t="shared" si="23"/>
        <v>35567.956971788779</v>
      </c>
      <c r="K59" s="6">
        <f t="shared" si="24"/>
        <v>0.12891765338008046</v>
      </c>
      <c r="L59" s="7">
        <f t="shared" si="25"/>
        <v>1.1289176533800804</v>
      </c>
      <c r="O59">
        <f t="shared" si="26"/>
        <v>2012</v>
      </c>
      <c r="P59" s="6">
        <f t="shared" si="13"/>
        <v>0.21138311805251342</v>
      </c>
      <c r="Q59" s="7"/>
      <c r="R59" s="6">
        <f t="shared" si="13"/>
        <v>0.22151781874352974</v>
      </c>
      <c r="S59" s="6">
        <f t="shared" si="13"/>
        <v>0.11412502224023964</v>
      </c>
      <c r="T59" s="7"/>
      <c r="U59" s="6">
        <f t="shared" si="13"/>
        <v>0.17470564348823733</v>
      </c>
      <c r="V59" s="6">
        <f t="shared" si="15"/>
        <v>0.27826839747547977</v>
      </c>
      <c r="W59" s="6">
        <f t="shared" si="27"/>
        <v>1</v>
      </c>
      <c r="X59" s="7">
        <f t="shared" si="28"/>
        <v>0.72173160252452018</v>
      </c>
      <c r="Y59" s="7">
        <f t="shared" si="29"/>
        <v>0</v>
      </c>
      <c r="Z59" s="24"/>
      <c r="AA59">
        <f t="shared" si="16"/>
        <v>2012</v>
      </c>
      <c r="AB59" s="2">
        <f t="shared" ref="AB59:AB64" si="70">B59</f>
        <v>65838.373358526995</v>
      </c>
      <c r="AC59" s="2"/>
      <c r="AD59" s="2">
        <f t="shared" ref="AD59" si="71">D59</f>
        <v>68994.97457682433</v>
      </c>
      <c r="AE59" s="2">
        <f t="shared" ref="AE59" si="72">E59</f>
        <v>35545.912526167092</v>
      </c>
      <c r="AF59" s="2"/>
      <c r="AG59" s="2">
        <f t="shared" ref="AG59" si="73">G59</f>
        <v>54414.635803426747</v>
      </c>
      <c r="AH59" s="2">
        <f t="shared" ref="AH59" si="74">H59</f>
        <v>86670.774921194272</v>
      </c>
      <c r="AI59" s="2">
        <f t="shared" si="17"/>
        <v>311464.67118613946</v>
      </c>
      <c r="AJ59" s="2">
        <f t="shared" si="7"/>
        <v>0</v>
      </c>
    </row>
    <row r="60" spans="1:36" x14ac:dyDescent="0.25">
      <c r="A60">
        <f t="shared" si="8"/>
        <v>2013</v>
      </c>
      <c r="B60" s="2">
        <f t="shared" si="41"/>
        <v>87025.161905300993</v>
      </c>
      <c r="C60" s="2"/>
      <c r="D60" s="2">
        <f t="shared" si="46"/>
        <v>93143.215678712848</v>
      </c>
      <c r="E60" s="2">
        <f t="shared" si="47"/>
        <v>48918.284818511151</v>
      </c>
      <c r="F60" s="2"/>
      <c r="G60" s="2">
        <f t="shared" si="30"/>
        <v>62598.59702826212</v>
      </c>
      <c r="H60" s="2">
        <f t="shared" si="21"/>
        <v>84712.015407975283</v>
      </c>
      <c r="I60" s="2">
        <f t="shared" si="22"/>
        <v>376397.27483876242</v>
      </c>
      <c r="J60" s="2">
        <f t="shared" si="23"/>
        <v>64932.603652622958</v>
      </c>
      <c r="K60" s="6">
        <f t="shared" si="24"/>
        <v>0.20847502031399745</v>
      </c>
      <c r="L60" s="7">
        <f t="shared" si="25"/>
        <v>1.2084750203139976</v>
      </c>
      <c r="O60">
        <f t="shared" si="26"/>
        <v>2013</v>
      </c>
      <c r="P60" s="6">
        <f t="shared" si="13"/>
        <v>0.23120561099327838</v>
      </c>
      <c r="Q60" s="7"/>
      <c r="R60" s="6">
        <f t="shared" si="13"/>
        <v>0.24745985665972922</v>
      </c>
      <c r="S60" s="6">
        <f t="shared" si="13"/>
        <v>0.12996450316880301</v>
      </c>
      <c r="T60" s="7"/>
      <c r="U60" s="6">
        <f t="shared" si="13"/>
        <v>0.1663099103336429</v>
      </c>
      <c r="V60" s="6">
        <f t="shared" si="15"/>
        <v>0.22506011884454646</v>
      </c>
      <c r="W60" s="6">
        <f t="shared" si="27"/>
        <v>1</v>
      </c>
      <c r="X60" s="7">
        <f t="shared" si="28"/>
        <v>0.77493988115545354</v>
      </c>
      <c r="Y60" s="7">
        <f t="shared" si="29"/>
        <v>0</v>
      </c>
      <c r="Z60" s="24"/>
      <c r="AA60">
        <f t="shared" si="16"/>
        <v>2013</v>
      </c>
      <c r="AB60" s="2">
        <f t="shared" si="70"/>
        <v>87025.161905300993</v>
      </c>
      <c r="AC60" s="2"/>
      <c r="AD60" s="2">
        <f t="shared" ref="AD60" si="75">D60</f>
        <v>93143.215678712848</v>
      </c>
      <c r="AE60" s="2">
        <f t="shared" ref="AE60" si="76">E60</f>
        <v>48918.284818511151</v>
      </c>
      <c r="AF60" s="2"/>
      <c r="AG60" s="2">
        <f t="shared" ref="AG60" si="77">G60</f>
        <v>62598.59702826212</v>
      </c>
      <c r="AH60" s="2">
        <f t="shared" ref="AH60" si="78">H60</f>
        <v>84712.015407975283</v>
      </c>
      <c r="AI60" s="2">
        <f t="shared" si="17"/>
        <v>376397.27483876242</v>
      </c>
      <c r="AJ60" s="2">
        <f t="shared" si="7"/>
        <v>0</v>
      </c>
    </row>
    <row r="61" spans="1:36" x14ac:dyDescent="0.25">
      <c r="A61">
        <f t="shared" si="8"/>
        <v>2014</v>
      </c>
      <c r="B61" s="2">
        <f t="shared" si="41"/>
        <v>98782.261278707156</v>
      </c>
      <c r="C61" s="2"/>
      <c r="D61" s="2">
        <f t="shared" si="46"/>
        <v>105810.69301101781</v>
      </c>
      <c r="E61" s="2">
        <f t="shared" si="47"/>
        <v>52523.56240963543</v>
      </c>
      <c r="F61" s="2"/>
      <c r="G61" s="2">
        <f t="shared" si="30"/>
        <v>59944.416514263808</v>
      </c>
      <c r="H61" s="2">
        <f t="shared" si="21"/>
        <v>89591.427495474665</v>
      </c>
      <c r="I61" s="2">
        <f t="shared" si="22"/>
        <v>406652.36070909887</v>
      </c>
      <c r="J61" s="2">
        <f t="shared" si="23"/>
        <v>30255.08587033645</v>
      </c>
      <c r="K61" s="6">
        <f t="shared" si="24"/>
        <v>8.0380725081755297E-2</v>
      </c>
      <c r="L61" s="7">
        <f t="shared" si="25"/>
        <v>1.0803807250817552</v>
      </c>
      <c r="O61">
        <f t="shared" si="26"/>
        <v>2014</v>
      </c>
      <c r="P61" s="6">
        <f t="shared" si="13"/>
        <v>0.24291574529766868</v>
      </c>
      <c r="Q61" s="7"/>
      <c r="R61" s="6">
        <f t="shared" si="13"/>
        <v>0.2601993821614873</v>
      </c>
      <c r="S61" s="6">
        <f t="shared" si="13"/>
        <v>0.12916084470294878</v>
      </c>
      <c r="T61" s="7"/>
      <c r="U61" s="6">
        <f t="shared" si="13"/>
        <v>0.14740948856103014</v>
      </c>
      <c r="V61" s="6">
        <f t="shared" si="15"/>
        <v>0.22031453927686506</v>
      </c>
      <c r="W61" s="6">
        <f t="shared" si="27"/>
        <v>1</v>
      </c>
      <c r="X61" s="7">
        <f t="shared" si="28"/>
        <v>0.77968546072313494</v>
      </c>
      <c r="Y61" s="7">
        <f t="shared" si="29"/>
        <v>0</v>
      </c>
      <c r="Z61" s="24"/>
      <c r="AA61">
        <f t="shared" si="16"/>
        <v>2014</v>
      </c>
      <c r="AB61" s="2">
        <f t="shared" si="70"/>
        <v>98782.261278707156</v>
      </c>
      <c r="AC61" s="2"/>
      <c r="AD61" s="2">
        <f t="shared" ref="AD61" si="79">D61</f>
        <v>105810.69301101781</v>
      </c>
      <c r="AE61" s="2">
        <f t="shared" ref="AE61" si="80">E61</f>
        <v>52523.56240963543</v>
      </c>
      <c r="AF61" s="2"/>
      <c r="AG61" s="2">
        <f t="shared" ref="AG61" si="81">G61</f>
        <v>59944.416514263808</v>
      </c>
      <c r="AH61" s="2">
        <f t="shared" ref="AH61" si="82">H61</f>
        <v>89591.427495474665</v>
      </c>
      <c r="AI61" s="2">
        <f t="shared" si="17"/>
        <v>406652.36070909887</v>
      </c>
      <c r="AJ61" s="2">
        <f t="shared" si="7"/>
        <v>0</v>
      </c>
    </row>
    <row r="62" spans="1:36" x14ac:dyDescent="0.25">
      <c r="A62">
        <f t="shared" si="8"/>
        <v>2015</v>
      </c>
      <c r="B62" s="2">
        <f t="shared" si="41"/>
        <v>100017.039544691</v>
      </c>
      <c r="C62" s="2"/>
      <c r="D62" s="2">
        <f t="shared" si="46"/>
        <v>104265.85689305696</v>
      </c>
      <c r="E62" s="2">
        <f t="shared" si="47"/>
        <v>50538.171750551206</v>
      </c>
      <c r="F62" s="2"/>
      <c r="G62" s="2">
        <f t="shared" si="30"/>
        <v>57324.84551259048</v>
      </c>
      <c r="H62" s="2">
        <f t="shared" si="21"/>
        <v>89860.201777961076</v>
      </c>
      <c r="I62" s="2">
        <f t="shared" si="22"/>
        <v>402006.11547885067</v>
      </c>
      <c r="J62" s="2">
        <f t="shared" si="23"/>
        <v>-4646.2452302481979</v>
      </c>
      <c r="K62" s="6">
        <f t="shared" si="24"/>
        <v>-1.1425595125394873E-2</v>
      </c>
      <c r="L62" s="7">
        <f t="shared" si="25"/>
        <v>0.98857440487460513</v>
      </c>
      <c r="O62">
        <f t="shared" si="26"/>
        <v>2015</v>
      </c>
      <c r="P62" s="6">
        <f t="shared" si="13"/>
        <v>0.2487948210080223</v>
      </c>
      <c r="Q62" s="7"/>
      <c r="R62" s="6">
        <f t="shared" si="13"/>
        <v>0.25936385760913216</v>
      </c>
      <c r="S62" s="6">
        <f t="shared" si="13"/>
        <v>0.12571493269537087</v>
      </c>
      <c r="T62" s="7"/>
      <c r="U62" s="6">
        <f t="shared" si="13"/>
        <v>0.14259694891533636</v>
      </c>
      <c r="V62" s="6">
        <f t="shared" si="15"/>
        <v>0.22352943977213843</v>
      </c>
      <c r="W62" s="6">
        <f t="shared" si="27"/>
        <v>1.0000000000000002</v>
      </c>
      <c r="X62" s="7">
        <f t="shared" si="28"/>
        <v>0.77647056022786176</v>
      </c>
      <c r="Y62" s="7">
        <f t="shared" si="29"/>
        <v>0</v>
      </c>
      <c r="Z62" s="24"/>
      <c r="AA62">
        <f t="shared" si="16"/>
        <v>2015</v>
      </c>
      <c r="AB62" s="2">
        <f t="shared" si="70"/>
        <v>100017.039544691</v>
      </c>
      <c r="AC62" s="2"/>
      <c r="AD62" s="2">
        <f t="shared" ref="AD62:AE64" si="83">D62</f>
        <v>104265.85689305696</v>
      </c>
      <c r="AE62" s="2">
        <f t="shared" si="83"/>
        <v>50538.171750551206</v>
      </c>
      <c r="AF62" s="2"/>
      <c r="AG62" s="2">
        <f t="shared" ref="AG62:AH64" si="84">G62</f>
        <v>57324.84551259048</v>
      </c>
      <c r="AH62" s="2">
        <f t="shared" si="84"/>
        <v>89860.201777961076</v>
      </c>
      <c r="AI62" s="2">
        <f t="shared" si="17"/>
        <v>402006.11547885067</v>
      </c>
      <c r="AJ62" s="2">
        <f t="shared" si="7"/>
        <v>0</v>
      </c>
    </row>
    <row r="63" spans="1:36" x14ac:dyDescent="0.25">
      <c r="A63">
        <f t="shared" si="8"/>
        <v>2016</v>
      </c>
      <c r="B63" s="2">
        <f t="shared" si="41"/>
        <v>111839.05361887348</v>
      </c>
      <c r="C63" s="2"/>
      <c r="D63" s="2">
        <f t="shared" si="46"/>
        <v>115808.08725111837</v>
      </c>
      <c r="E63" s="2">
        <f t="shared" si="47"/>
        <v>59720.95755762636</v>
      </c>
      <c r="F63" s="2"/>
      <c r="G63" s="2">
        <f t="shared" si="30"/>
        <v>59990.450828925939</v>
      </c>
      <c r="H63" s="2">
        <f t="shared" si="21"/>
        <v>92106.706822410095</v>
      </c>
      <c r="I63" s="2">
        <f t="shared" si="22"/>
        <v>439465.25607895426</v>
      </c>
      <c r="J63" s="2">
        <f t="shared" si="23"/>
        <v>37459.140600103594</v>
      </c>
      <c r="K63" s="6">
        <f t="shared" si="24"/>
        <v>9.3180524270094836E-2</v>
      </c>
      <c r="L63" s="7">
        <f t="shared" si="25"/>
        <v>1.0931805242700949</v>
      </c>
      <c r="O63">
        <f t="shared" si="26"/>
        <v>2016</v>
      </c>
      <c r="P63" s="6">
        <f t="shared" si="13"/>
        <v>0.25448895463713406</v>
      </c>
      <c r="Q63" s="7"/>
      <c r="R63" s="6">
        <f t="shared" si="13"/>
        <v>0.26352046185492378</v>
      </c>
      <c r="S63" s="6">
        <f t="shared" si="13"/>
        <v>0.13589460539036766</v>
      </c>
      <c r="T63" s="7"/>
      <c r="U63" s="6">
        <f t="shared" si="13"/>
        <v>0.13650783537287886</v>
      </c>
      <c r="V63" s="6">
        <f t="shared" si="15"/>
        <v>0.20958814274469564</v>
      </c>
      <c r="W63" s="6">
        <f t="shared" si="27"/>
        <v>1.0000000000000002</v>
      </c>
      <c r="X63" s="7">
        <f t="shared" si="28"/>
        <v>0.7904118572553045</v>
      </c>
      <c r="Y63" s="7">
        <f t="shared" si="29"/>
        <v>0</v>
      </c>
      <c r="Z63" s="24"/>
      <c r="AA63">
        <f t="shared" si="16"/>
        <v>2016</v>
      </c>
      <c r="AB63" s="2">
        <f t="shared" si="70"/>
        <v>111839.05361887348</v>
      </c>
      <c r="AC63" s="2"/>
      <c r="AD63" s="2">
        <f t="shared" si="83"/>
        <v>115808.08725111837</v>
      </c>
      <c r="AE63" s="2">
        <f t="shared" si="83"/>
        <v>59720.95755762636</v>
      </c>
      <c r="AF63" s="2"/>
      <c r="AG63" s="2">
        <f t="shared" si="84"/>
        <v>59990.450828925939</v>
      </c>
      <c r="AH63" s="2">
        <f t="shared" si="84"/>
        <v>92106.706822410095</v>
      </c>
      <c r="AI63" s="2">
        <f t="shared" si="17"/>
        <v>439465.25607895426</v>
      </c>
      <c r="AJ63" s="2">
        <f t="shared" si="7"/>
        <v>0</v>
      </c>
    </row>
    <row r="64" spans="1:36" x14ac:dyDescent="0.25">
      <c r="A64">
        <f t="shared" si="8"/>
        <v>2017</v>
      </c>
      <c r="B64" s="2">
        <f t="shared" si="41"/>
        <v>136074.57653808335</v>
      </c>
      <c r="C64" s="2"/>
      <c r="D64" s="2">
        <f t="shared" si="46"/>
        <v>138506.47235233756</v>
      </c>
      <c r="E64" s="2">
        <f t="shared" si="47"/>
        <v>69336.031724404209</v>
      </c>
      <c r="F64" s="2"/>
      <c r="G64" s="2">
        <f t="shared" si="30"/>
        <v>76427.834356051651</v>
      </c>
      <c r="H64" s="2">
        <f t="shared" si="21"/>
        <v>95293.598878465476</v>
      </c>
      <c r="I64" s="2">
        <f t="shared" si="22"/>
        <v>515638.51384934224</v>
      </c>
      <c r="J64" s="2">
        <f t="shared" si="23"/>
        <v>76173.25777038798</v>
      </c>
      <c r="K64" s="6">
        <f t="shared" si="24"/>
        <v>0.17333169509241636</v>
      </c>
      <c r="L64" s="7">
        <f t="shared" si="25"/>
        <v>1.1733316950924164</v>
      </c>
      <c r="O64">
        <f t="shared" si="26"/>
        <v>2017</v>
      </c>
      <c r="P64" s="6">
        <f t="shared" si="13"/>
        <v>0.26389529269693229</v>
      </c>
      <c r="Q64" s="7"/>
      <c r="R64" s="6">
        <f t="shared" si="13"/>
        <v>0.26861157309286243</v>
      </c>
      <c r="S64" s="6">
        <f t="shared" si="13"/>
        <v>0.13446635552258729</v>
      </c>
      <c r="T64" s="7"/>
      <c r="U64" s="6">
        <f t="shared" si="13"/>
        <v>0.14821979410634581</v>
      </c>
      <c r="V64" s="6">
        <f t="shared" si="15"/>
        <v>0.18480698458127215</v>
      </c>
      <c r="W64" s="6">
        <f t="shared" si="27"/>
        <v>1</v>
      </c>
      <c r="X64" s="7">
        <f t="shared" si="28"/>
        <v>0.8151930154187278</v>
      </c>
      <c r="Y64" s="7">
        <f t="shared" si="29"/>
        <v>0</v>
      </c>
      <c r="Z64" s="24"/>
      <c r="AA64">
        <f t="shared" si="16"/>
        <v>2017</v>
      </c>
      <c r="AB64" s="2">
        <f t="shared" si="70"/>
        <v>136074.57653808335</v>
      </c>
      <c r="AC64" s="2"/>
      <c r="AD64" s="2">
        <f t="shared" si="83"/>
        <v>138506.47235233756</v>
      </c>
      <c r="AE64" s="2">
        <f t="shared" si="83"/>
        <v>69336.031724404209</v>
      </c>
      <c r="AF64" s="2"/>
      <c r="AG64" s="2">
        <f t="shared" si="84"/>
        <v>76427.834356051651</v>
      </c>
      <c r="AH64" s="2">
        <f t="shared" si="84"/>
        <v>95293.598878465476</v>
      </c>
      <c r="AI64" s="2">
        <f t="shared" si="17"/>
        <v>515638.51384934224</v>
      </c>
      <c r="AJ64" s="2">
        <f t="shared" si="7"/>
        <v>0</v>
      </c>
    </row>
    <row r="65" spans="1:19" x14ac:dyDescent="0.25">
      <c r="A65" s="9" t="s">
        <v>79</v>
      </c>
      <c r="B65" s="10">
        <f>B64</f>
        <v>136074.57653808335</v>
      </c>
      <c r="C65" s="10"/>
      <c r="D65" s="10">
        <f>D64</f>
        <v>138506.47235233756</v>
      </c>
      <c r="E65" s="10">
        <f>E64</f>
        <v>69336.031724404209</v>
      </c>
      <c r="F65" s="10"/>
      <c r="G65" s="10">
        <f>G64</f>
        <v>76427.834356051651</v>
      </c>
      <c r="H65" s="10">
        <f>H64</f>
        <v>95293.598878465476</v>
      </c>
      <c r="I65" s="10">
        <f>SUM(B65:H65)</f>
        <v>515638.51384934224</v>
      </c>
      <c r="J65" s="10"/>
      <c r="K65" s="10"/>
      <c r="S65" s="7"/>
    </row>
    <row r="66" spans="1:19" x14ac:dyDescent="0.25">
      <c r="A66" s="11" t="s">
        <v>80</v>
      </c>
      <c r="I66" s="6">
        <f>(I65-I39)/I39</f>
        <v>4.1563851384934223</v>
      </c>
      <c r="K66" s="6"/>
    </row>
    <row r="67" spans="1:19" x14ac:dyDescent="0.25">
      <c r="A67" s="1" t="s">
        <v>81</v>
      </c>
      <c r="I67" s="12">
        <f>STDEV(L40:L64)</f>
        <v>0.11634834219571458</v>
      </c>
    </row>
    <row r="68" spans="1:19" x14ac:dyDescent="0.25">
      <c r="A68" s="1" t="s">
        <v>82</v>
      </c>
      <c r="I68" s="13">
        <f>((1+I66)^(1/I73))-1</f>
        <v>6.7809582579981376E-2</v>
      </c>
    </row>
    <row r="69" spans="1:19" x14ac:dyDescent="0.25">
      <c r="A69" s="1" t="s">
        <v>83</v>
      </c>
      <c r="I69" s="31">
        <f>J60</f>
        <v>64932.603652622958</v>
      </c>
    </row>
    <row r="70" spans="1:19" x14ac:dyDescent="0.25">
      <c r="A70" s="1" t="s">
        <v>84</v>
      </c>
      <c r="I70" s="32">
        <f>K60</f>
        <v>0.20847502031399745</v>
      </c>
    </row>
    <row r="71" spans="1:19" x14ac:dyDescent="0.25">
      <c r="A71" s="3" t="s">
        <v>85</v>
      </c>
      <c r="I71" s="33">
        <f>I64-I65</f>
        <v>0</v>
      </c>
    </row>
    <row r="72" spans="1:19" x14ac:dyDescent="0.25">
      <c r="A72" s="3" t="s">
        <v>149</v>
      </c>
      <c r="I72" s="33">
        <f>((SUM(J40:J64))-(I65-I39))</f>
        <v>0</v>
      </c>
    </row>
    <row r="73" spans="1:19" x14ac:dyDescent="0.25">
      <c r="A73" s="3" t="s">
        <v>160</v>
      </c>
      <c r="I73" s="3">
        <f>COUNTA(I40:I64)</f>
        <v>25</v>
      </c>
    </row>
    <row r="74" spans="1:19" x14ac:dyDescent="0.25">
      <c r="A74" s="1" t="s">
        <v>106</v>
      </c>
      <c r="B74" s="63"/>
      <c r="C74" s="63"/>
      <c r="D74" s="63"/>
      <c r="E74" s="63"/>
      <c r="G74" s="63"/>
      <c r="H74" s="63"/>
      <c r="I74" s="86">
        <f>(SUM(B65:G65)/I65)</f>
        <v>0.81519301541872791</v>
      </c>
    </row>
    <row r="75" spans="1:19" x14ac:dyDescent="0.25">
      <c r="A75" s="1" t="s">
        <v>107</v>
      </c>
      <c r="B75" s="63"/>
      <c r="C75" s="63"/>
      <c r="D75" s="63"/>
      <c r="E75" s="63"/>
      <c r="G75" s="63"/>
      <c r="H75" s="63"/>
      <c r="I75" s="86">
        <f>(H65/I65)</f>
        <v>0.18480698458127215</v>
      </c>
    </row>
    <row r="76" spans="1:19" x14ac:dyDescent="0.25">
      <c r="A76" s="3" t="s">
        <v>108</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5F6-73E5-4728-ACAC-970906A88720}">
  <dimension ref="A1:AU76"/>
  <sheetViews>
    <sheetView topLeftCell="A59" zoomScaleNormal="100" workbookViewId="0">
      <selection activeCell="E74" sqref="E74"/>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row>
    <row r="5" spans="1:8"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row>
    <row r="6" spans="1:8"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row>
    <row r="7" spans="1:8"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row>
    <row r="8" spans="1:8" x14ac:dyDescent="0.25">
      <c r="A8" s="17">
        <f>'Non-Rebalanced Portfolio'!A8</f>
        <v>1997</v>
      </c>
      <c r="B8" s="17">
        <f>'Non-Rebalanced Portfolio'!B8</f>
        <v>33.19</v>
      </c>
      <c r="C8" s="17">
        <f>'Non-Rebalanced Portfolio'!C8</f>
        <v>26.687000000000001</v>
      </c>
      <c r="D8" s="17"/>
      <c r="E8" s="17"/>
      <c r="F8" s="17">
        <f>'Non-Rebalanced Portfolio'!F8</f>
        <v>0</v>
      </c>
      <c r="G8" s="17"/>
      <c r="H8" s="17">
        <f>'Non-Rebalanced Portfolio'!H8</f>
        <v>9.44</v>
      </c>
    </row>
    <row r="9" spans="1:8" x14ac:dyDescent="0.25">
      <c r="A9" s="17">
        <f>'Non-Rebalanced Portfolio'!A9</f>
        <v>1998</v>
      </c>
      <c r="B9" s="17">
        <f>'Non-Rebalanced Portfolio'!B9</f>
        <v>28.66</v>
      </c>
      <c r="C9" s="17">
        <f>'Non-Rebalanced Portfolio'!C9</f>
        <v>8.3529999999999998</v>
      </c>
      <c r="D9" s="17"/>
      <c r="E9" s="17"/>
      <c r="F9" s="17">
        <f>'Non-Rebalanced Portfolio'!F9</f>
        <v>0</v>
      </c>
      <c r="G9" s="17">
        <f>'Non-Rebalanced Portfolio'!G9</f>
        <v>15.603</v>
      </c>
      <c r="H9" s="17">
        <f>'Non-Rebalanced Portfolio'!H9</f>
        <v>8.58</v>
      </c>
    </row>
    <row r="10" spans="1:8" x14ac:dyDescent="0.25">
      <c r="A10" s="17">
        <f>'Non-Rebalanced Portfolio'!A10</f>
        <v>1999</v>
      </c>
      <c r="B10" s="17">
        <f>'Non-Rebalanced Portfolio'!B10</f>
        <v>21.07</v>
      </c>
      <c r="C10" s="17">
        <f>'Non-Rebalanced Portfolio'!C10</f>
        <v>0</v>
      </c>
      <c r="D10" s="17"/>
      <c r="E10" s="17"/>
      <c r="F10" s="17">
        <f>'Non-Rebalanced Portfolio'!F10</f>
        <v>0</v>
      </c>
      <c r="G10" s="17">
        <f>'Non-Rebalanced Portfolio'!G10</f>
        <v>29.919</v>
      </c>
      <c r="H10" s="17">
        <f>'Non-Rebalanced Portfolio'!H10</f>
        <v>-0.76</v>
      </c>
    </row>
    <row r="11" spans="1:8" x14ac:dyDescent="0.25">
      <c r="A11" s="17">
        <f>'Non-Rebalanced Portfolio'!A11</f>
        <v>2000</v>
      </c>
      <c r="B11" s="17">
        <f>'Non-Rebalanced Portfolio'!B11</f>
        <v>-9.06</v>
      </c>
      <c r="C11" s="17">
        <f>'Non-Rebalanced Portfolio'!C11</f>
        <v>0</v>
      </c>
      <c r="D11" s="17">
        <f>'Non-Rebalanced Portfolio'!D11</f>
        <v>18.097999999999999</v>
      </c>
      <c r="E11" s="17">
        <f>'Non-Rebalanced Portfolio'!E11</f>
        <v>-2.665</v>
      </c>
      <c r="F11" s="17">
        <f>'Non-Rebalanced Portfolio'!F11</f>
        <v>0</v>
      </c>
      <c r="G11" s="18">
        <f>'Non-Rebalanced Portfolio'!G11</f>
        <v>-15.614000000000001</v>
      </c>
      <c r="H11" s="17">
        <f>'Non-Rebalanced Portfolio'!H11</f>
        <v>11.39</v>
      </c>
    </row>
    <row r="12" spans="1:8" x14ac:dyDescent="0.25">
      <c r="A12" s="17">
        <f>'Non-Rebalanced Portfolio'!A12</f>
        <v>2001</v>
      </c>
      <c r="B12" s="17">
        <f>'Non-Rebalanced Portfolio'!B12</f>
        <v>-12.02</v>
      </c>
      <c r="C12" s="17">
        <f>'Non-Rebalanced Portfolio'!C12</f>
        <v>0</v>
      </c>
      <c r="D12" s="17">
        <f>'Non-Rebalanced Portfolio'!D12</f>
        <v>-0.499</v>
      </c>
      <c r="E12" s="17">
        <f>'Non-Rebalanced Portfolio'!E12</f>
        <v>3.1</v>
      </c>
      <c r="F12" s="17">
        <f>'Non-Rebalanced Portfolio'!F12</f>
        <v>0</v>
      </c>
      <c r="G12" s="17">
        <f>'Non-Rebalanced Portfolio'!G12</f>
        <v>-20.152999999999999</v>
      </c>
      <c r="H12" s="17">
        <f>'Non-Rebalanced Portfolio'!H12</f>
        <v>8.43</v>
      </c>
    </row>
    <row r="13" spans="1:8" x14ac:dyDescent="0.25">
      <c r="A13" s="17">
        <f>'Non-Rebalanced Portfolio'!A13</f>
        <v>2002</v>
      </c>
      <c r="B13" s="17">
        <f>'Non-Rebalanced Portfolio'!B13</f>
        <v>-22.15</v>
      </c>
      <c r="C13" s="17">
        <f>'Non-Rebalanced Portfolio'!C13</f>
        <v>0</v>
      </c>
      <c r="D13" s="18">
        <f>'Non-Rebalanced Portfolio'!D13</f>
        <v>-14.608000000000001</v>
      </c>
      <c r="E13" s="18">
        <f>'Non-Rebalanced Portfolio'!E13</f>
        <v>-20.021999999999998</v>
      </c>
      <c r="F13" s="17"/>
      <c r="G13" s="17">
        <f>'Non-Rebalanced Portfolio'!G13</f>
        <v>-15.083</v>
      </c>
      <c r="H13" s="17">
        <f>'Non-Rebalanced Portfolio'!H13</f>
        <v>8.26</v>
      </c>
    </row>
    <row r="14" spans="1:8" x14ac:dyDescent="0.25">
      <c r="A14" s="17">
        <f>'Non-Rebalanced Portfolio'!A14</f>
        <v>2003</v>
      </c>
      <c r="B14" s="17">
        <f>'Non-Rebalanced Portfolio'!B14</f>
        <v>28.5</v>
      </c>
      <c r="C14" s="17">
        <f>'Non-Rebalanced Portfolio'!C14</f>
        <v>0</v>
      </c>
      <c r="D14" s="17">
        <f>'Non-Rebalanced Portfolio'!D14</f>
        <v>34.142000000000003</v>
      </c>
      <c r="E14" s="17">
        <f>'Non-Rebalanced Portfolio'!E14</f>
        <v>45.628</v>
      </c>
      <c r="F14" s="17"/>
      <c r="G14" s="17">
        <f>'Non-Rebalanced Portfolio'!G14</f>
        <v>40.340000000000003</v>
      </c>
      <c r="H14" s="17">
        <f>'Non-Rebalanced Portfolio'!H14</f>
        <v>3.97</v>
      </c>
    </row>
    <row r="15" spans="1:8"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row>
    <row r="16" spans="1:8"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row>
    <row r="17" spans="1:8"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row>
    <row r="18" spans="1:8"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row>
    <row r="19" spans="1:8"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row>
    <row r="20" spans="1:8"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row>
    <row r="21" spans="1:8"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row>
    <row r="22" spans="1:8"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row>
    <row r="23" spans="1:8"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row>
    <row r="24" spans="1:8"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row>
    <row r="25" spans="1:8"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row>
    <row r="26" spans="1:8"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row>
    <row r="27" spans="1:8"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row>
    <row r="28" spans="1:8"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row>
    <row r="29" spans="1:8"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5">
      <c r="A36" s="20" t="s">
        <v>117</v>
      </c>
      <c r="O36" s="20" t="s">
        <v>127</v>
      </c>
      <c r="AB36" s="20" t="s">
        <v>18</v>
      </c>
      <c r="AL36" s="20" t="s">
        <v>21</v>
      </c>
    </row>
    <row r="37" spans="1:47"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89</v>
      </c>
    </row>
    <row r="38" spans="1:47"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73</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88</v>
      </c>
    </row>
    <row r="39" spans="1:47" x14ac:dyDescent="0.25">
      <c r="A39" t="s">
        <v>72</v>
      </c>
      <c r="B39" s="2">
        <v>60000</v>
      </c>
      <c r="C39" s="2">
        <v>0</v>
      </c>
      <c r="F39" s="2">
        <v>0</v>
      </c>
      <c r="H39" s="2">
        <v>40000</v>
      </c>
      <c r="I39" s="2">
        <f>SUM(B39:H39)</f>
        <v>100000</v>
      </c>
      <c r="O39" s="21" t="s">
        <v>87</v>
      </c>
      <c r="P39" s="22">
        <f>B39/$I39</f>
        <v>0.6</v>
      </c>
      <c r="Q39" s="22">
        <f>C39/$I39</f>
        <v>0</v>
      </c>
      <c r="R39" s="56">
        <v>0</v>
      </c>
      <c r="S39" s="56">
        <v>0</v>
      </c>
      <c r="T39" s="22">
        <f>F39/$I39</f>
        <v>0</v>
      </c>
      <c r="U39" s="56">
        <v>0</v>
      </c>
      <c r="V39" s="22">
        <f>H39/$I39</f>
        <v>0.4</v>
      </c>
      <c r="W39" s="22">
        <f>I39/$I39</f>
        <v>1</v>
      </c>
      <c r="X39" s="24"/>
      <c r="Z39" s="22"/>
      <c r="AB39" s="21" t="str">
        <f>O39</f>
        <v>Target Allocation</v>
      </c>
      <c r="AC39" s="24">
        <f t="shared" si="2"/>
        <v>0.6</v>
      </c>
      <c r="AD39" s="24">
        <f t="shared" si="2"/>
        <v>0</v>
      </c>
      <c r="AE39" s="25">
        <f t="shared" si="2"/>
        <v>0</v>
      </c>
      <c r="AF39" s="25">
        <f t="shared" si="2"/>
        <v>0</v>
      </c>
      <c r="AG39" s="24">
        <f t="shared" si="2"/>
        <v>0</v>
      </c>
      <c r="AH39" s="25">
        <f t="shared" si="2"/>
        <v>0</v>
      </c>
      <c r="AI39" s="24">
        <f t="shared" si="2"/>
        <v>0.4</v>
      </c>
      <c r="AJ39" s="24">
        <f>W39</f>
        <v>1</v>
      </c>
      <c r="AL39" s="21" t="str">
        <f>AB39</f>
        <v>Target Allocation</v>
      </c>
      <c r="AM39" s="24">
        <f>AC39</f>
        <v>0.6</v>
      </c>
      <c r="AN39" s="24">
        <f t="shared" si="3"/>
        <v>0</v>
      </c>
      <c r="AO39" s="25">
        <f t="shared" si="3"/>
        <v>0</v>
      </c>
      <c r="AP39" s="25">
        <f t="shared" si="3"/>
        <v>0</v>
      </c>
      <c r="AQ39" s="24">
        <f t="shared" si="3"/>
        <v>0</v>
      </c>
      <c r="AR39" s="25">
        <f t="shared" si="3"/>
        <v>0</v>
      </c>
      <c r="AS39" s="24">
        <f t="shared" si="3"/>
        <v>0.4</v>
      </c>
      <c r="AT39" s="24">
        <f t="shared" si="3"/>
        <v>1</v>
      </c>
      <c r="AU39" s="2"/>
    </row>
    <row r="40" spans="1:47" x14ac:dyDescent="0.25">
      <c r="A40">
        <f t="shared" ref="A40:A64" si="4">A4</f>
        <v>1993</v>
      </c>
      <c r="B40" s="2">
        <f>B39*(1+(B4/100))</f>
        <v>65934</v>
      </c>
      <c r="C40" s="2">
        <f>C39*(1+(C4/100))</f>
        <v>0</v>
      </c>
      <c r="D40" s="2"/>
      <c r="E40" s="2"/>
      <c r="F40" s="2">
        <f>F39*(1+(F4/100))</f>
        <v>0</v>
      </c>
      <c r="G40" s="2"/>
      <c r="H40" s="2">
        <f>H39*(1+(H4/100))</f>
        <v>43872</v>
      </c>
      <c r="I40" s="2">
        <f>SUM(B40:H40)</f>
        <v>109806</v>
      </c>
      <c r="J40" s="2">
        <f>I40-I39</f>
        <v>9806</v>
      </c>
      <c r="K40" s="6">
        <f>(J40/I39)</f>
        <v>9.8059999999999994E-2</v>
      </c>
      <c r="L40" s="7">
        <f>K40+1</f>
        <v>1.09806</v>
      </c>
      <c r="O40">
        <f>A40</f>
        <v>1993</v>
      </c>
      <c r="P40" s="6">
        <f t="shared" ref="P40:U64" si="5">B40/$I40</f>
        <v>0.60045899131195013</v>
      </c>
      <c r="Q40" s="6">
        <f t="shared" si="5"/>
        <v>0</v>
      </c>
      <c r="R40" s="7"/>
      <c r="S40" s="7"/>
      <c r="T40" s="6">
        <f t="shared" ref="T40:T48" si="6">F40/$I40</f>
        <v>0</v>
      </c>
      <c r="U40" s="7"/>
      <c r="V40" s="6">
        <f t="shared" ref="V40:V64" si="7">H40/$I40</f>
        <v>0.39954100868804981</v>
      </c>
      <c r="W40" s="6">
        <f>SUM(P40:V40)</f>
        <v>1</v>
      </c>
      <c r="X40" s="7">
        <f>SUM(P40:U40)</f>
        <v>0.60045899131195013</v>
      </c>
      <c r="Y40" s="7">
        <f>W40-(X40+V40)</f>
        <v>0</v>
      </c>
      <c r="Z40" s="6"/>
      <c r="AB40">
        <f>O40</f>
        <v>1993</v>
      </c>
      <c r="AC40" s="1" t="b">
        <f>AND((B40/$I40)&gt;0.15,(B40/$I40)&lt;0.25)</f>
        <v>0</v>
      </c>
      <c r="AD40" s="1" t="b">
        <f>AND((C40/$I40)&gt;0.25,(C40/$I40)&lt;0.35)</f>
        <v>0</v>
      </c>
      <c r="AG40" s="1" t="b">
        <f t="shared" ref="AG40:AG48" si="8">AND((F40/$I40)&gt;0.15,(F40/$I40)&lt;0.25)</f>
        <v>0</v>
      </c>
      <c r="AI40" s="1" t="b">
        <f>AND((H40/$I40)&gt;0.25,(H40/$I40)&lt;0.35)</f>
        <v>0</v>
      </c>
      <c r="AJ40" s="1" t="b">
        <f>AND((I40/$I40)&gt;0.999,(I40/$I40)&lt;1.01)</f>
        <v>1</v>
      </c>
      <c r="AL40">
        <f>A40</f>
        <v>1993</v>
      </c>
      <c r="AM40" s="2">
        <f t="shared" ref="AM40:AN50" si="9">$I40*AM$39</f>
        <v>65883.599999999991</v>
      </c>
      <c r="AN40" s="2">
        <f t="shared" si="9"/>
        <v>0</v>
      </c>
      <c r="AO40" s="2"/>
      <c r="AP40" s="2"/>
      <c r="AQ40" s="2">
        <f t="shared" ref="AQ40:AQ49" si="10">$I40*AQ$39</f>
        <v>0</v>
      </c>
      <c r="AR40" s="2"/>
      <c r="AS40" s="2">
        <f t="shared" ref="AS40:AS51" si="11">$I40*AS$39</f>
        <v>43922.400000000001</v>
      </c>
      <c r="AT40" s="2">
        <f>SUM(AM40:AS40)</f>
        <v>109806</v>
      </c>
      <c r="AU40" s="2">
        <f>AT40-I40</f>
        <v>0</v>
      </c>
    </row>
    <row r="41" spans="1:47" x14ac:dyDescent="0.25">
      <c r="A41">
        <f t="shared" si="4"/>
        <v>1994</v>
      </c>
      <c r="B41" s="2">
        <f t="shared" ref="B41:C56" si="12">AM40*(1+(B5/100))</f>
        <v>66661.02648</v>
      </c>
      <c r="C41" s="2">
        <f t="shared" si="12"/>
        <v>0</v>
      </c>
      <c r="D41" s="2"/>
      <c r="E41" s="2"/>
      <c r="F41" s="2">
        <f t="shared" ref="F41:F48" si="13">AQ40*(1+(F5/100))</f>
        <v>0</v>
      </c>
      <c r="G41" s="2"/>
      <c r="H41" s="2">
        <f t="shared" ref="H41:H64" si="14">AS40*(1+(H5/100))</f>
        <v>42754.064160000002</v>
      </c>
      <c r="I41" s="2">
        <f t="shared" ref="I41:I64" si="15">SUM(B41:H41)</f>
        <v>109415.09064000001</v>
      </c>
      <c r="J41" s="2">
        <f t="shared" ref="J41:J64" si="16">I41-I40</f>
        <v>-390.90935999999056</v>
      </c>
      <c r="K41" s="6">
        <f t="shared" ref="K41:K64" si="17">(J41/I40)</f>
        <v>-3.5599999999999139E-3</v>
      </c>
      <c r="L41" s="7">
        <f t="shared" ref="L41:L64" si="18">K41+1</f>
        <v>0.9964400000000001</v>
      </c>
      <c r="O41">
        <f t="shared" ref="O41:O64" si="19">A41</f>
        <v>1994</v>
      </c>
      <c r="P41" s="6">
        <f t="shared" si="5"/>
        <v>0.60924892617719073</v>
      </c>
      <c r="Q41" s="6">
        <f t="shared" si="5"/>
        <v>0</v>
      </c>
      <c r="R41" s="7"/>
      <c r="S41" s="7"/>
      <c r="T41" s="6">
        <f t="shared" si="6"/>
        <v>0</v>
      </c>
      <c r="U41" s="7"/>
      <c r="V41" s="6">
        <f t="shared" si="7"/>
        <v>0.39075107382280916</v>
      </c>
      <c r="W41" s="6">
        <f t="shared" ref="W41:W64" si="20">SUM(P41:V41)</f>
        <v>0.99999999999999989</v>
      </c>
      <c r="X41" s="7">
        <f t="shared" ref="X41:X64" si="21">SUM(P41:U41)</f>
        <v>0.60924892617719073</v>
      </c>
      <c r="Y41" s="7">
        <f t="shared" ref="Y41:Y64" si="22">W41-(X41+V41)</f>
        <v>0</v>
      </c>
      <c r="Z41" s="6"/>
      <c r="AB41">
        <f t="shared" ref="AB41:AB64" si="23">O41</f>
        <v>1994</v>
      </c>
      <c r="AC41" s="1" t="b">
        <f t="shared" ref="AC41:AC64" si="24">AND((B41/$I41)&gt;0.15,(B41/$I41)&lt;0.25)</f>
        <v>0</v>
      </c>
      <c r="AD41" s="1" t="b">
        <f t="shared" ref="AD41:AD50" si="25">AND((C41/$I41)&gt;0.25,(C41/$I41)&lt;0.35)</f>
        <v>0</v>
      </c>
      <c r="AG41" s="1" t="b">
        <f t="shared" si="8"/>
        <v>0</v>
      </c>
      <c r="AI41" s="1" t="b">
        <f t="shared" ref="AI41:AI64" si="26">AND((H41/$I41)&gt;0.25,(H41/$I41)&lt;0.35)</f>
        <v>0</v>
      </c>
      <c r="AJ41" s="1" t="b">
        <f t="shared" ref="AJ41:AJ64" si="27">AND((I41/$I41)&gt;0.999,(I41/$I41)&lt;1.01)</f>
        <v>1</v>
      </c>
      <c r="AL41">
        <f t="shared" ref="AL41:AL64" si="28">A41</f>
        <v>1994</v>
      </c>
      <c r="AM41" s="2">
        <f t="shared" si="9"/>
        <v>65649.054384000003</v>
      </c>
      <c r="AN41" s="2">
        <f t="shared" si="9"/>
        <v>0</v>
      </c>
      <c r="AO41" s="2"/>
      <c r="AP41" s="2"/>
      <c r="AQ41" s="2">
        <f t="shared" si="10"/>
        <v>0</v>
      </c>
      <c r="AR41" s="2"/>
      <c r="AS41" s="2">
        <f t="shared" si="11"/>
        <v>43766.036256000007</v>
      </c>
      <c r="AT41" s="2">
        <f t="shared" ref="AT41:AT64" si="29">I41</f>
        <v>109415.09064000001</v>
      </c>
      <c r="AU41" s="2">
        <f t="shared" ref="AU41:AU64" si="30">AT41-I41</f>
        <v>0</v>
      </c>
    </row>
    <row r="42" spans="1:47" x14ac:dyDescent="0.25">
      <c r="A42">
        <f t="shared" si="4"/>
        <v>1995</v>
      </c>
      <c r="B42" s="2">
        <f t="shared" si="12"/>
        <v>90234.625250808007</v>
      </c>
      <c r="C42" s="2">
        <f t="shared" si="12"/>
        <v>0</v>
      </c>
      <c r="D42" s="2"/>
      <c r="E42" s="2"/>
      <c r="F42" s="2">
        <f t="shared" si="13"/>
        <v>0</v>
      </c>
      <c r="G42" s="2"/>
      <c r="H42" s="2">
        <f t="shared" si="14"/>
        <v>51722.701647340808</v>
      </c>
      <c r="I42" s="2">
        <f t="shared" si="15"/>
        <v>141957.32689814881</v>
      </c>
      <c r="J42" s="2">
        <f t="shared" si="16"/>
        <v>32542.236258148798</v>
      </c>
      <c r="K42" s="6">
        <f t="shared" si="17"/>
        <v>0.29741999999999996</v>
      </c>
      <c r="L42" s="7">
        <f t="shared" si="18"/>
        <v>1.29742</v>
      </c>
      <c r="O42">
        <f t="shared" si="19"/>
        <v>1995</v>
      </c>
      <c r="P42" s="6">
        <f t="shared" si="5"/>
        <v>0.63564612847034885</v>
      </c>
      <c r="Q42" s="6">
        <f t="shared" si="5"/>
        <v>0</v>
      </c>
      <c r="R42" s="7"/>
      <c r="S42" s="7"/>
      <c r="T42" s="6">
        <f t="shared" si="6"/>
        <v>0</v>
      </c>
      <c r="U42" s="7"/>
      <c r="V42" s="6">
        <f t="shared" si="7"/>
        <v>0.36435387152965121</v>
      </c>
      <c r="W42" s="6">
        <f t="shared" si="20"/>
        <v>1</v>
      </c>
      <c r="X42" s="7">
        <f t="shared" si="21"/>
        <v>0.63564612847034885</v>
      </c>
      <c r="Y42" s="7">
        <f t="shared" si="22"/>
        <v>0</v>
      </c>
      <c r="Z42" s="6"/>
      <c r="AB42">
        <f t="shared" si="23"/>
        <v>1995</v>
      </c>
      <c r="AC42" s="1" t="b">
        <f t="shared" si="24"/>
        <v>0</v>
      </c>
      <c r="AD42" s="1" t="b">
        <f t="shared" si="25"/>
        <v>0</v>
      </c>
      <c r="AG42" s="1" t="b">
        <f t="shared" si="8"/>
        <v>0</v>
      </c>
      <c r="AI42" s="1" t="b">
        <f t="shared" si="26"/>
        <v>0</v>
      </c>
      <c r="AJ42" s="1" t="b">
        <f t="shared" si="27"/>
        <v>1</v>
      </c>
      <c r="AL42">
        <f t="shared" si="28"/>
        <v>1995</v>
      </c>
      <c r="AM42" s="2">
        <f t="shared" si="9"/>
        <v>85174.396138889279</v>
      </c>
      <c r="AN42" s="2">
        <f t="shared" si="9"/>
        <v>0</v>
      </c>
      <c r="AO42" s="2"/>
      <c r="AP42" s="2"/>
      <c r="AQ42" s="2">
        <f t="shared" si="10"/>
        <v>0</v>
      </c>
      <c r="AR42" s="2"/>
      <c r="AS42" s="2">
        <f t="shared" si="11"/>
        <v>56782.930759259529</v>
      </c>
      <c r="AT42" s="2">
        <f t="shared" si="29"/>
        <v>141957.32689814881</v>
      </c>
      <c r="AU42" s="2">
        <f t="shared" si="30"/>
        <v>0</v>
      </c>
    </row>
    <row r="43" spans="1:47" x14ac:dyDescent="0.25">
      <c r="A43">
        <f t="shared" si="4"/>
        <v>1996</v>
      </c>
      <c r="B43" s="2">
        <f t="shared" si="12"/>
        <v>104662.29797546715</v>
      </c>
      <c r="C43" s="2">
        <f t="shared" si="12"/>
        <v>0</v>
      </c>
      <c r="D43" s="2"/>
      <c r="E43" s="2"/>
      <c r="F43" s="2">
        <f t="shared" si="13"/>
        <v>0</v>
      </c>
      <c r="G43" s="2"/>
      <c r="H43" s="2">
        <f t="shared" si="14"/>
        <v>58815.75968044102</v>
      </c>
      <c r="I43" s="2">
        <f t="shared" si="15"/>
        <v>163478.05765590817</v>
      </c>
      <c r="J43" s="2">
        <f t="shared" si="16"/>
        <v>21520.73075775936</v>
      </c>
      <c r="K43" s="6">
        <f t="shared" si="17"/>
        <v>0.15160000000000001</v>
      </c>
      <c r="L43" s="7">
        <f t="shared" si="18"/>
        <v>1.1516</v>
      </c>
      <c r="O43">
        <f t="shared" si="19"/>
        <v>1996</v>
      </c>
      <c r="P43" s="6">
        <f t="shared" si="5"/>
        <v>0.64022229940951725</v>
      </c>
      <c r="Q43" s="6">
        <f t="shared" si="5"/>
        <v>0</v>
      </c>
      <c r="R43" s="7"/>
      <c r="S43" s="7"/>
      <c r="T43" s="6">
        <f t="shared" si="6"/>
        <v>0</v>
      </c>
      <c r="U43" s="7"/>
      <c r="V43" s="6">
        <f t="shared" si="7"/>
        <v>0.35977770059048286</v>
      </c>
      <c r="W43" s="6">
        <f t="shared" si="20"/>
        <v>1</v>
      </c>
      <c r="X43" s="7">
        <f t="shared" si="21"/>
        <v>0.64022229940951725</v>
      </c>
      <c r="Y43" s="7">
        <f t="shared" si="22"/>
        <v>0</v>
      </c>
      <c r="Z43" s="6"/>
      <c r="AB43">
        <f t="shared" si="23"/>
        <v>1996</v>
      </c>
      <c r="AC43" s="1" t="b">
        <f t="shared" si="24"/>
        <v>0</v>
      </c>
      <c r="AD43" s="1" t="b">
        <f t="shared" si="25"/>
        <v>0</v>
      </c>
      <c r="AG43" s="1" t="b">
        <f t="shared" si="8"/>
        <v>0</v>
      </c>
      <c r="AI43" s="1" t="b">
        <f t="shared" si="26"/>
        <v>0</v>
      </c>
      <c r="AJ43" s="1" t="b">
        <f t="shared" si="27"/>
        <v>1</v>
      </c>
      <c r="AL43">
        <f t="shared" si="28"/>
        <v>1996</v>
      </c>
      <c r="AM43" s="2">
        <f t="shared" si="9"/>
        <v>98086.834593544903</v>
      </c>
      <c r="AN43" s="2">
        <f t="shared" si="9"/>
        <v>0</v>
      </c>
      <c r="AO43" s="2"/>
      <c r="AP43" s="2"/>
      <c r="AQ43" s="2">
        <f t="shared" si="10"/>
        <v>0</v>
      </c>
      <c r="AR43" s="2"/>
      <c r="AS43" s="2">
        <f t="shared" si="11"/>
        <v>65391.223062363271</v>
      </c>
      <c r="AT43" s="2">
        <f t="shared" si="29"/>
        <v>163478.05765590817</v>
      </c>
      <c r="AU43" s="2">
        <f t="shared" si="30"/>
        <v>0</v>
      </c>
    </row>
    <row r="44" spans="1:47" x14ac:dyDescent="0.25">
      <c r="A44">
        <f t="shared" si="4"/>
        <v>1997</v>
      </c>
      <c r="B44" s="2">
        <f t="shared" si="12"/>
        <v>130641.85499514246</v>
      </c>
      <c r="C44" s="2">
        <f t="shared" si="12"/>
        <v>0</v>
      </c>
      <c r="D44" s="2"/>
      <c r="E44" s="2"/>
      <c r="F44" s="2">
        <f t="shared" si="13"/>
        <v>0</v>
      </c>
      <c r="G44" s="2"/>
      <c r="H44" s="2">
        <f t="shared" si="14"/>
        <v>71564.154519450371</v>
      </c>
      <c r="I44" s="2">
        <f t="shared" si="15"/>
        <v>202206.00951459282</v>
      </c>
      <c r="J44" s="2">
        <f t="shared" si="16"/>
        <v>38727.951858684653</v>
      </c>
      <c r="K44" s="6">
        <f t="shared" si="17"/>
        <v>0.23690000000000005</v>
      </c>
      <c r="L44" s="7">
        <f t="shared" si="18"/>
        <v>1.2369000000000001</v>
      </c>
      <c r="O44">
        <f t="shared" si="19"/>
        <v>1997</v>
      </c>
      <c r="P44" s="6">
        <f t="shared" si="5"/>
        <v>0.64608294930875576</v>
      </c>
      <c r="Q44" s="6">
        <f t="shared" si="5"/>
        <v>0</v>
      </c>
      <c r="R44" s="7"/>
      <c r="S44" s="7"/>
      <c r="T44" s="38">
        <f t="shared" si="6"/>
        <v>0</v>
      </c>
      <c r="U44" s="7"/>
      <c r="V44" s="6">
        <f t="shared" si="7"/>
        <v>0.35391705069124429</v>
      </c>
      <c r="W44" s="6">
        <f t="shared" si="20"/>
        <v>1</v>
      </c>
      <c r="X44" s="7">
        <f t="shared" si="21"/>
        <v>0.64608294930875576</v>
      </c>
      <c r="Y44" s="7">
        <f t="shared" si="22"/>
        <v>0</v>
      </c>
      <c r="Z44" s="6"/>
      <c r="AB44">
        <f t="shared" si="23"/>
        <v>1997</v>
      </c>
      <c r="AC44" s="1" t="b">
        <f t="shared" si="24"/>
        <v>0</v>
      </c>
      <c r="AD44" s="1" t="b">
        <f t="shared" si="25"/>
        <v>0</v>
      </c>
      <c r="AG44" s="39" t="b">
        <f t="shared" si="8"/>
        <v>0</v>
      </c>
      <c r="AI44" s="1" t="b">
        <f t="shared" si="26"/>
        <v>0</v>
      </c>
      <c r="AJ44" s="1" t="b">
        <f t="shared" si="27"/>
        <v>1</v>
      </c>
      <c r="AL44">
        <f t="shared" si="28"/>
        <v>1997</v>
      </c>
      <c r="AM44" s="2">
        <f t="shared" si="9"/>
        <v>121323.60570875568</v>
      </c>
      <c r="AN44" s="2">
        <f t="shared" si="9"/>
        <v>0</v>
      </c>
      <c r="AO44" s="2"/>
      <c r="AP44" s="2"/>
      <c r="AQ44" s="2">
        <f t="shared" si="10"/>
        <v>0</v>
      </c>
      <c r="AR44" s="2"/>
      <c r="AS44" s="2">
        <f t="shared" si="11"/>
        <v>80882.403805837137</v>
      </c>
      <c r="AT44" s="2">
        <f t="shared" si="29"/>
        <v>202206.00951459282</v>
      </c>
      <c r="AU44" s="2">
        <f t="shared" si="30"/>
        <v>0</v>
      </c>
    </row>
    <row r="45" spans="1:47" x14ac:dyDescent="0.25">
      <c r="A45">
        <f t="shared" si="4"/>
        <v>1998</v>
      </c>
      <c r="B45" s="2">
        <f t="shared" si="12"/>
        <v>156094.95110488505</v>
      </c>
      <c r="C45" s="2">
        <f t="shared" si="12"/>
        <v>0</v>
      </c>
      <c r="D45" s="2"/>
      <c r="E45" s="2"/>
      <c r="F45" s="2">
        <f t="shared" si="13"/>
        <v>0</v>
      </c>
      <c r="G45" s="2"/>
      <c r="H45" s="2">
        <f t="shared" si="14"/>
        <v>87822.114052377976</v>
      </c>
      <c r="I45" s="2">
        <f t="shared" si="15"/>
        <v>243917.06515726302</v>
      </c>
      <c r="J45" s="2">
        <f t="shared" si="16"/>
        <v>41711.055642670195</v>
      </c>
      <c r="K45" s="6">
        <f t="shared" si="17"/>
        <v>0.20627999999999994</v>
      </c>
      <c r="L45" s="7">
        <f t="shared" si="18"/>
        <v>1.20628</v>
      </c>
      <c r="O45">
        <f t="shared" si="19"/>
        <v>1998</v>
      </c>
      <c r="P45" s="6">
        <f t="shared" si="5"/>
        <v>0.6399509235003481</v>
      </c>
      <c r="Q45" s="6">
        <f t="shared" si="5"/>
        <v>0</v>
      </c>
      <c r="R45" s="7"/>
      <c r="S45" s="7"/>
      <c r="T45" s="6">
        <f t="shared" si="6"/>
        <v>0</v>
      </c>
      <c r="U45" s="7"/>
      <c r="V45" s="6">
        <f t="shared" si="7"/>
        <v>0.36004907649965195</v>
      </c>
      <c r="W45" s="6">
        <f t="shared" si="20"/>
        <v>1</v>
      </c>
      <c r="X45" s="7">
        <f t="shared" si="21"/>
        <v>0.6399509235003481</v>
      </c>
      <c r="Y45" s="7">
        <f t="shared" si="22"/>
        <v>0</v>
      </c>
      <c r="Z45" s="6"/>
      <c r="AB45">
        <f t="shared" si="23"/>
        <v>1998</v>
      </c>
      <c r="AC45" s="1" t="b">
        <f t="shared" si="24"/>
        <v>0</v>
      </c>
      <c r="AD45" s="1" t="b">
        <f t="shared" si="25"/>
        <v>0</v>
      </c>
      <c r="AG45" s="1" t="b">
        <f t="shared" si="8"/>
        <v>0</v>
      </c>
      <c r="AI45" s="1" t="b">
        <f t="shared" si="26"/>
        <v>0</v>
      </c>
      <c r="AJ45" s="1" t="b">
        <f t="shared" si="27"/>
        <v>1</v>
      </c>
      <c r="AL45">
        <f t="shared" si="28"/>
        <v>1998</v>
      </c>
      <c r="AM45" s="2">
        <f t="shared" si="9"/>
        <v>146350.23909435779</v>
      </c>
      <c r="AN45" s="2">
        <f t="shared" si="9"/>
        <v>0</v>
      </c>
      <c r="AO45" s="2"/>
      <c r="AP45" s="2"/>
      <c r="AQ45" s="2">
        <f t="shared" si="10"/>
        <v>0</v>
      </c>
      <c r="AR45" s="2"/>
      <c r="AS45" s="2">
        <f t="shared" si="11"/>
        <v>97566.826062905209</v>
      </c>
      <c r="AT45" s="2">
        <f t="shared" si="29"/>
        <v>243917.06515726302</v>
      </c>
      <c r="AU45" s="2">
        <f t="shared" si="30"/>
        <v>0</v>
      </c>
    </row>
    <row r="46" spans="1:47" x14ac:dyDescent="0.25">
      <c r="A46">
        <f t="shared" si="4"/>
        <v>1999</v>
      </c>
      <c r="B46" s="2">
        <f t="shared" si="12"/>
        <v>177186.23447153901</v>
      </c>
      <c r="C46" s="2">
        <f t="shared" si="12"/>
        <v>0</v>
      </c>
      <c r="D46" s="2"/>
      <c r="E46" s="2"/>
      <c r="F46" s="2">
        <f t="shared" si="13"/>
        <v>0</v>
      </c>
      <c r="G46" s="2"/>
      <c r="H46" s="2">
        <f t="shared" si="14"/>
        <v>96825.31818482712</v>
      </c>
      <c r="I46" s="2">
        <f t="shared" si="15"/>
        <v>274011.55265636614</v>
      </c>
      <c r="J46" s="2">
        <f t="shared" si="16"/>
        <v>30094.487499103125</v>
      </c>
      <c r="K46" s="6">
        <f t="shared" si="17"/>
        <v>0.12338000000000006</v>
      </c>
      <c r="L46" s="7">
        <f t="shared" si="18"/>
        <v>1.12338</v>
      </c>
      <c r="O46">
        <f t="shared" si="19"/>
        <v>1999</v>
      </c>
      <c r="P46" s="6">
        <f t="shared" si="5"/>
        <v>0.6466378251348609</v>
      </c>
      <c r="Q46" s="6">
        <f t="shared" si="5"/>
        <v>0</v>
      </c>
      <c r="R46" s="7"/>
      <c r="S46" s="7"/>
      <c r="T46" s="6">
        <f t="shared" si="6"/>
        <v>0</v>
      </c>
      <c r="U46" s="7"/>
      <c r="V46" s="6">
        <f t="shared" si="7"/>
        <v>0.3533621748651391</v>
      </c>
      <c r="W46" s="6">
        <f t="shared" si="20"/>
        <v>1</v>
      </c>
      <c r="X46" s="7">
        <f t="shared" si="21"/>
        <v>0.6466378251348609</v>
      </c>
      <c r="Y46" s="7">
        <f t="shared" si="22"/>
        <v>0</v>
      </c>
      <c r="Z46" s="6"/>
      <c r="AB46">
        <f t="shared" si="23"/>
        <v>1999</v>
      </c>
      <c r="AC46" s="1" t="b">
        <f t="shared" si="24"/>
        <v>0</v>
      </c>
      <c r="AD46" s="1" t="b">
        <f t="shared" si="25"/>
        <v>0</v>
      </c>
      <c r="AG46" s="1" t="b">
        <f t="shared" si="8"/>
        <v>0</v>
      </c>
      <c r="AI46" s="1" t="b">
        <f t="shared" si="26"/>
        <v>0</v>
      </c>
      <c r="AJ46" s="1" t="b">
        <f t="shared" si="27"/>
        <v>1</v>
      </c>
      <c r="AL46">
        <f t="shared" si="28"/>
        <v>1999</v>
      </c>
      <c r="AM46" s="2">
        <f t="shared" si="9"/>
        <v>164406.93159381967</v>
      </c>
      <c r="AN46" s="2">
        <f t="shared" si="9"/>
        <v>0</v>
      </c>
      <c r="AO46" s="2"/>
      <c r="AP46" s="2"/>
      <c r="AQ46" s="2">
        <f t="shared" si="10"/>
        <v>0</v>
      </c>
      <c r="AR46" s="2"/>
      <c r="AS46" s="2">
        <f t="shared" si="11"/>
        <v>109604.62106254646</v>
      </c>
      <c r="AT46" s="2">
        <f t="shared" si="29"/>
        <v>274011.55265636614</v>
      </c>
      <c r="AU46" s="2">
        <f t="shared" si="30"/>
        <v>0</v>
      </c>
    </row>
    <row r="47" spans="1:47" x14ac:dyDescent="0.25">
      <c r="A47">
        <f t="shared" si="4"/>
        <v>2000</v>
      </c>
      <c r="B47" s="2">
        <f t="shared" si="12"/>
        <v>149511.66359141961</v>
      </c>
      <c r="C47" s="2">
        <f t="shared" si="12"/>
        <v>0</v>
      </c>
      <c r="D47" s="2"/>
      <c r="E47" s="2"/>
      <c r="F47" s="2">
        <f t="shared" si="13"/>
        <v>0</v>
      </c>
      <c r="G47" s="2"/>
      <c r="H47" s="2">
        <f t="shared" si="14"/>
        <v>122088.58740157052</v>
      </c>
      <c r="I47" s="2">
        <f t="shared" si="15"/>
        <v>271600.2509929901</v>
      </c>
      <c r="J47" s="2">
        <f t="shared" si="16"/>
        <v>-2411.3016633760417</v>
      </c>
      <c r="K47" s="6">
        <f t="shared" si="17"/>
        <v>-8.8000000000000717E-3</v>
      </c>
      <c r="L47" s="7">
        <f t="shared" si="18"/>
        <v>0.99119999999999997</v>
      </c>
      <c r="O47">
        <f t="shared" si="19"/>
        <v>2000</v>
      </c>
      <c r="P47" s="6">
        <f t="shared" si="5"/>
        <v>0.55048426150121066</v>
      </c>
      <c r="Q47" s="6">
        <f t="shared" si="5"/>
        <v>0</v>
      </c>
      <c r="R47" s="7"/>
      <c r="S47" s="7"/>
      <c r="T47" s="6">
        <f t="shared" si="6"/>
        <v>0</v>
      </c>
      <c r="U47" s="7"/>
      <c r="V47" s="6">
        <f t="shared" si="7"/>
        <v>0.44951573849878945</v>
      </c>
      <c r="W47" s="6">
        <f t="shared" si="20"/>
        <v>1</v>
      </c>
      <c r="X47" s="7">
        <f t="shared" si="21"/>
        <v>0.55048426150121066</v>
      </c>
      <c r="Y47" s="7">
        <f t="shared" si="22"/>
        <v>0</v>
      </c>
      <c r="Z47" s="6"/>
      <c r="AB47">
        <f t="shared" si="23"/>
        <v>2000</v>
      </c>
      <c r="AC47" s="1" t="b">
        <f t="shared" si="24"/>
        <v>0</v>
      </c>
      <c r="AD47" s="1" t="b">
        <f t="shared" si="25"/>
        <v>0</v>
      </c>
      <c r="AG47" s="1" t="b">
        <f t="shared" si="8"/>
        <v>0</v>
      </c>
      <c r="AI47" s="1" t="b">
        <f t="shared" si="26"/>
        <v>0</v>
      </c>
      <c r="AJ47" s="1" t="b">
        <f t="shared" si="27"/>
        <v>1</v>
      </c>
      <c r="AL47">
        <f t="shared" si="28"/>
        <v>2000</v>
      </c>
      <c r="AM47" s="2">
        <f t="shared" si="9"/>
        <v>162960.15059579405</v>
      </c>
      <c r="AN47" s="2">
        <f t="shared" si="9"/>
        <v>0</v>
      </c>
      <c r="AO47" s="2"/>
      <c r="AP47" s="2"/>
      <c r="AQ47" s="2">
        <f t="shared" si="10"/>
        <v>0</v>
      </c>
      <c r="AR47" s="2"/>
      <c r="AS47" s="2">
        <f t="shared" si="11"/>
        <v>108640.10039719605</v>
      </c>
      <c r="AT47" s="2">
        <f t="shared" si="29"/>
        <v>271600.2509929901</v>
      </c>
      <c r="AU47" s="2">
        <f t="shared" si="30"/>
        <v>0</v>
      </c>
    </row>
    <row r="48" spans="1:47" x14ac:dyDescent="0.25">
      <c r="A48">
        <f t="shared" si="4"/>
        <v>2001</v>
      </c>
      <c r="B48" s="2">
        <f t="shared" si="12"/>
        <v>143372.3404941796</v>
      </c>
      <c r="C48" s="2">
        <f t="shared" si="12"/>
        <v>0</v>
      </c>
      <c r="D48" s="2"/>
      <c r="E48" s="2"/>
      <c r="F48" s="2">
        <f t="shared" si="13"/>
        <v>0</v>
      </c>
      <c r="G48" s="2"/>
      <c r="H48" s="2">
        <f t="shared" si="14"/>
        <v>117798.46086067968</v>
      </c>
      <c r="I48" s="2">
        <f t="shared" si="15"/>
        <v>261170.80135485929</v>
      </c>
      <c r="J48" s="2">
        <f t="shared" si="16"/>
        <v>-10429.449638130813</v>
      </c>
      <c r="K48" s="6">
        <f t="shared" si="17"/>
        <v>-3.8399999999999976E-2</v>
      </c>
      <c r="L48" s="7">
        <f t="shared" si="18"/>
        <v>0.96160000000000001</v>
      </c>
      <c r="O48">
        <f t="shared" si="19"/>
        <v>2001</v>
      </c>
      <c r="P48" s="6">
        <f t="shared" si="5"/>
        <v>0.54896006655574037</v>
      </c>
      <c r="Q48" s="6">
        <f t="shared" si="5"/>
        <v>0</v>
      </c>
      <c r="R48" s="7"/>
      <c r="S48" s="7"/>
      <c r="T48" s="6">
        <f t="shared" si="6"/>
        <v>0</v>
      </c>
      <c r="U48" s="6"/>
      <c r="V48" s="38">
        <f t="shared" si="7"/>
        <v>0.45103993344425963</v>
      </c>
      <c r="W48" s="6">
        <f t="shared" si="20"/>
        <v>1</v>
      </c>
      <c r="X48" s="7">
        <f t="shared" si="21"/>
        <v>0.54896006655574037</v>
      </c>
      <c r="Y48" s="7">
        <f t="shared" si="22"/>
        <v>0</v>
      </c>
      <c r="Z48" s="6"/>
      <c r="AB48">
        <f t="shared" si="23"/>
        <v>2001</v>
      </c>
      <c r="AC48" s="1" t="b">
        <f t="shared" si="24"/>
        <v>0</v>
      </c>
      <c r="AD48" s="1" t="b">
        <f t="shared" si="25"/>
        <v>0</v>
      </c>
      <c r="AG48" s="1" t="b">
        <f t="shared" si="8"/>
        <v>0</v>
      </c>
      <c r="AI48" s="39" t="b">
        <f t="shared" si="26"/>
        <v>0</v>
      </c>
      <c r="AJ48" s="1" t="b">
        <f t="shared" si="27"/>
        <v>1</v>
      </c>
      <c r="AL48">
        <f t="shared" si="28"/>
        <v>2001</v>
      </c>
      <c r="AM48" s="2">
        <f t="shared" si="9"/>
        <v>156702.48081291557</v>
      </c>
      <c r="AN48" s="2">
        <f t="shared" si="9"/>
        <v>0</v>
      </c>
      <c r="AO48" s="2"/>
      <c r="AP48" s="2"/>
      <c r="AQ48" s="2">
        <f t="shared" si="10"/>
        <v>0</v>
      </c>
      <c r="AR48" s="2"/>
      <c r="AS48" s="2">
        <f t="shared" si="11"/>
        <v>104468.32054194371</v>
      </c>
      <c r="AT48" s="2">
        <f t="shared" si="29"/>
        <v>261170.80135485929</v>
      </c>
      <c r="AU48" s="2">
        <f t="shared" si="30"/>
        <v>0</v>
      </c>
    </row>
    <row r="49" spans="1:47" x14ac:dyDescent="0.25">
      <c r="A49">
        <f t="shared" si="4"/>
        <v>2002</v>
      </c>
      <c r="B49" s="2">
        <f t="shared" si="12"/>
        <v>121992.88131285476</v>
      </c>
      <c r="C49" s="2">
        <f t="shared" si="12"/>
        <v>0</v>
      </c>
      <c r="D49" s="2"/>
      <c r="E49" s="2"/>
      <c r="F49" s="2"/>
      <c r="G49" s="2">
        <f>AQ48*(1+(G13/100))</f>
        <v>0</v>
      </c>
      <c r="H49" s="2">
        <f t="shared" si="14"/>
        <v>113097.40381870826</v>
      </c>
      <c r="I49" s="2">
        <f t="shared" si="15"/>
        <v>235090.28513156303</v>
      </c>
      <c r="J49" s="2">
        <f t="shared" si="16"/>
        <v>-26080.516223296261</v>
      </c>
      <c r="K49" s="6">
        <f t="shared" si="17"/>
        <v>-9.9860000000000046E-2</v>
      </c>
      <c r="L49" s="7">
        <f t="shared" si="18"/>
        <v>0.90013999999999994</v>
      </c>
      <c r="O49">
        <f t="shared" si="19"/>
        <v>2002</v>
      </c>
      <c r="P49" s="6">
        <f t="shared" si="5"/>
        <v>0.51891927922323189</v>
      </c>
      <c r="Q49" s="6">
        <f t="shared" si="5"/>
        <v>0</v>
      </c>
      <c r="R49" s="7"/>
      <c r="S49" s="7"/>
      <c r="T49" s="6"/>
      <c r="U49" s="6">
        <f t="shared" si="5"/>
        <v>0</v>
      </c>
      <c r="V49" s="6">
        <f t="shared" si="7"/>
        <v>0.48108072077676806</v>
      </c>
      <c r="W49" s="6">
        <f t="shared" si="20"/>
        <v>1</v>
      </c>
      <c r="X49" s="7">
        <f t="shared" si="21"/>
        <v>0.51891927922323189</v>
      </c>
      <c r="Y49" s="7">
        <f t="shared" si="22"/>
        <v>0</v>
      </c>
      <c r="Z49" s="6"/>
      <c r="AB49">
        <f t="shared" si="23"/>
        <v>2002</v>
      </c>
      <c r="AC49" s="1" t="b">
        <f t="shared" si="24"/>
        <v>0</v>
      </c>
      <c r="AD49" s="1" t="b">
        <f t="shared" si="25"/>
        <v>0</v>
      </c>
      <c r="AG49" s="1"/>
      <c r="AH49" s="1" t="b">
        <f t="shared" ref="AH49:AH64" si="31">AND((G49/$I49)&gt;0.15,(G49/$I49)&lt;0.25)</f>
        <v>0</v>
      </c>
      <c r="AI49" s="1" t="b">
        <f t="shared" si="26"/>
        <v>0</v>
      </c>
      <c r="AJ49" s="1" t="b">
        <f t="shared" si="27"/>
        <v>1</v>
      </c>
      <c r="AL49">
        <f t="shared" si="28"/>
        <v>2002</v>
      </c>
      <c r="AM49" s="2">
        <f t="shared" si="9"/>
        <v>141054.1710789378</v>
      </c>
      <c r="AN49" s="2">
        <f t="shared" si="9"/>
        <v>0</v>
      </c>
      <c r="AO49" s="2"/>
      <c r="AP49" s="2"/>
      <c r="AQ49" s="2">
        <f t="shared" si="10"/>
        <v>0</v>
      </c>
      <c r="AR49" s="2"/>
      <c r="AS49" s="2">
        <f t="shared" si="11"/>
        <v>94036.114052625213</v>
      </c>
      <c r="AT49" s="2">
        <f t="shared" si="29"/>
        <v>235090.28513156303</v>
      </c>
      <c r="AU49" s="2">
        <f t="shared" si="30"/>
        <v>0</v>
      </c>
    </row>
    <row r="50" spans="1:47" x14ac:dyDescent="0.25">
      <c r="A50">
        <f t="shared" si="4"/>
        <v>2003</v>
      </c>
      <c r="B50" s="2">
        <f t="shared" si="12"/>
        <v>181254.60983643506</v>
      </c>
      <c r="C50" s="2">
        <f t="shared" si="12"/>
        <v>0</v>
      </c>
      <c r="D50" s="2"/>
      <c r="E50" s="2"/>
      <c r="F50" s="2"/>
      <c r="G50" s="2">
        <f t="shared" ref="G50:G64" si="32">AR49*(1+(G14/100))</f>
        <v>0</v>
      </c>
      <c r="H50" s="2">
        <f t="shared" si="14"/>
        <v>97769.347780514436</v>
      </c>
      <c r="I50" s="2">
        <f t="shared" si="15"/>
        <v>279023.95761694951</v>
      </c>
      <c r="J50" s="2">
        <f t="shared" si="16"/>
        <v>43933.672485386487</v>
      </c>
      <c r="K50" s="6">
        <f t="shared" si="17"/>
        <v>0.18687999999999996</v>
      </c>
      <c r="L50" s="7">
        <f t="shared" si="18"/>
        <v>1.1868799999999999</v>
      </c>
      <c r="O50">
        <f t="shared" si="19"/>
        <v>2003</v>
      </c>
      <c r="P50" s="38">
        <f t="shared" si="5"/>
        <v>0.64960231868428142</v>
      </c>
      <c r="Q50" s="6">
        <f t="shared" si="5"/>
        <v>0</v>
      </c>
      <c r="R50" s="7"/>
      <c r="S50" s="7"/>
      <c r="T50" s="7"/>
      <c r="U50" s="6">
        <f t="shared" si="5"/>
        <v>0</v>
      </c>
      <c r="V50" s="6">
        <f t="shared" si="7"/>
        <v>0.35039768131571858</v>
      </c>
      <c r="W50" s="6">
        <f t="shared" si="20"/>
        <v>1</v>
      </c>
      <c r="X50" s="7">
        <f t="shared" si="21"/>
        <v>0.64960231868428142</v>
      </c>
      <c r="Y50" s="7">
        <f t="shared" si="22"/>
        <v>0</v>
      </c>
      <c r="Z50" s="6"/>
      <c r="AB50">
        <f t="shared" si="23"/>
        <v>2003</v>
      </c>
      <c r="AC50" s="39" t="b">
        <f t="shared" si="24"/>
        <v>0</v>
      </c>
      <c r="AD50" s="1" t="b">
        <f t="shared" si="25"/>
        <v>0</v>
      </c>
      <c r="AH50" s="1" t="b">
        <f t="shared" si="31"/>
        <v>0</v>
      </c>
      <c r="AI50" s="1" t="b">
        <f t="shared" si="26"/>
        <v>0</v>
      </c>
      <c r="AJ50" s="1" t="b">
        <f t="shared" si="27"/>
        <v>1</v>
      </c>
      <c r="AL50">
        <f t="shared" si="28"/>
        <v>2003</v>
      </c>
      <c r="AM50" s="2">
        <f t="shared" si="9"/>
        <v>167414.37457016969</v>
      </c>
      <c r="AN50" s="2">
        <f t="shared" si="9"/>
        <v>0</v>
      </c>
      <c r="AO50" s="2"/>
      <c r="AP50" s="2"/>
      <c r="AQ50" s="2"/>
      <c r="AR50" s="2">
        <f>$I50*AR$39</f>
        <v>0</v>
      </c>
      <c r="AS50" s="2">
        <f t="shared" si="11"/>
        <v>111609.58304677981</v>
      </c>
      <c r="AT50" s="2">
        <f t="shared" si="29"/>
        <v>279023.95761694951</v>
      </c>
      <c r="AU50" s="2">
        <f t="shared" si="30"/>
        <v>0</v>
      </c>
    </row>
    <row r="51" spans="1:47" x14ac:dyDescent="0.25">
      <c r="A51">
        <f t="shared" si="4"/>
        <v>2004</v>
      </c>
      <c r="B51" s="2">
        <f t="shared" si="12"/>
        <v>185394.6783990059</v>
      </c>
      <c r="C51" s="2"/>
      <c r="D51" s="2">
        <f>(AN50*0.67)*(1+(D15/100))</f>
        <v>0</v>
      </c>
      <c r="E51" s="2">
        <f>(AN50*0.33)*(1+(E15/100))</f>
        <v>0</v>
      </c>
      <c r="F51" s="2"/>
      <c r="G51" s="2">
        <f t="shared" si="32"/>
        <v>0</v>
      </c>
      <c r="H51" s="2">
        <f t="shared" si="14"/>
        <v>116341.82936796328</v>
      </c>
      <c r="I51" s="2">
        <f t="shared" si="15"/>
        <v>301736.50776696915</v>
      </c>
      <c r="J51" s="2">
        <f t="shared" si="16"/>
        <v>22712.550150019641</v>
      </c>
      <c r="K51" s="6">
        <f t="shared" si="17"/>
        <v>8.139999999999982E-2</v>
      </c>
      <c r="L51" s="7">
        <f t="shared" si="18"/>
        <v>1.0813999999999999</v>
      </c>
      <c r="O51">
        <f t="shared" si="19"/>
        <v>2004</v>
      </c>
      <c r="P51" s="6">
        <f t="shared" si="5"/>
        <v>0.61442574440540043</v>
      </c>
      <c r="Q51" s="7"/>
      <c r="R51" s="6">
        <f t="shared" si="5"/>
        <v>0</v>
      </c>
      <c r="S51" s="6">
        <f t="shared" si="5"/>
        <v>0</v>
      </c>
      <c r="T51" s="7"/>
      <c r="U51" s="6">
        <f t="shared" si="5"/>
        <v>0</v>
      </c>
      <c r="V51" s="6">
        <f t="shared" si="7"/>
        <v>0.38557425559459968</v>
      </c>
      <c r="W51" s="6">
        <f t="shared" si="20"/>
        <v>1</v>
      </c>
      <c r="X51" s="7">
        <f t="shared" si="21"/>
        <v>0.61442574440540043</v>
      </c>
      <c r="Y51" s="7">
        <f t="shared" si="22"/>
        <v>0</v>
      </c>
      <c r="Z51" s="6"/>
      <c r="AB51">
        <f t="shared" si="23"/>
        <v>2004</v>
      </c>
      <c r="AC51" s="1" t="b">
        <f t="shared" si="24"/>
        <v>0</v>
      </c>
      <c r="AE51" s="1" t="b">
        <f>AND((D51/$I51)&gt;0.15,(D51/$I51)&lt;0.25)</f>
        <v>0</v>
      </c>
      <c r="AF51" s="1" t="b">
        <f>AND((E51/$I51)&gt;0.05,(E51/$I51)&lt;0.15)</f>
        <v>0</v>
      </c>
      <c r="AH51" s="1" t="b">
        <f t="shared" si="31"/>
        <v>0</v>
      </c>
      <c r="AI51" s="1" t="b">
        <f t="shared" si="26"/>
        <v>0</v>
      </c>
      <c r="AJ51" s="1" t="b">
        <f t="shared" si="27"/>
        <v>1</v>
      </c>
      <c r="AL51">
        <f t="shared" si="28"/>
        <v>2004</v>
      </c>
      <c r="AM51" s="2">
        <f>$I51*AM$39</f>
        <v>181041.90466018149</v>
      </c>
      <c r="AN51" s="2"/>
      <c r="AO51" s="2">
        <f t="shared" ref="AO51:AP64" si="33">$I51*AO$39</f>
        <v>0</v>
      </c>
      <c r="AP51" s="2">
        <f t="shared" si="33"/>
        <v>0</v>
      </c>
      <c r="AQ51" s="2"/>
      <c r="AR51" s="2">
        <f>$I51*AR$39</f>
        <v>0</v>
      </c>
      <c r="AS51" s="2">
        <f t="shared" si="11"/>
        <v>120694.60310678766</v>
      </c>
      <c r="AT51" s="2">
        <f t="shared" si="29"/>
        <v>301736.50776696915</v>
      </c>
      <c r="AU51" s="2">
        <f t="shared" si="30"/>
        <v>0</v>
      </c>
    </row>
    <row r="52" spans="1:47" x14ac:dyDescent="0.25">
      <c r="A52">
        <f t="shared" si="4"/>
        <v>2005</v>
      </c>
      <c r="B52" s="2">
        <f t="shared" si="12"/>
        <v>189677.60351247215</v>
      </c>
      <c r="C52" s="2"/>
      <c r="D52" s="2">
        <f t="shared" ref="D52:E64" si="34">AO51*(1+(D16/100))</f>
        <v>0</v>
      </c>
      <c r="E52" s="2">
        <f t="shared" si="34"/>
        <v>0</v>
      </c>
      <c r="F52" s="2"/>
      <c r="G52" s="2">
        <f t="shared" si="32"/>
        <v>0</v>
      </c>
      <c r="H52" s="2">
        <f t="shared" si="14"/>
        <v>123591.27358135057</v>
      </c>
      <c r="I52" s="2">
        <f t="shared" si="15"/>
        <v>313268.8770938227</v>
      </c>
      <c r="J52" s="2">
        <f t="shared" si="16"/>
        <v>11532.369326853543</v>
      </c>
      <c r="K52" s="6">
        <f t="shared" si="17"/>
        <v>3.8219999999999942E-2</v>
      </c>
      <c r="L52" s="7">
        <f t="shared" si="18"/>
        <v>1.0382199999999999</v>
      </c>
      <c r="O52">
        <f t="shared" si="19"/>
        <v>2005</v>
      </c>
      <c r="P52" s="6">
        <f t="shared" si="5"/>
        <v>0.60547860761688277</v>
      </c>
      <c r="Q52" s="7"/>
      <c r="R52" s="6">
        <f t="shared" si="5"/>
        <v>0</v>
      </c>
      <c r="S52" s="6">
        <f t="shared" si="5"/>
        <v>0</v>
      </c>
      <c r="T52" s="7"/>
      <c r="U52" s="6">
        <f t="shared" si="5"/>
        <v>0</v>
      </c>
      <c r="V52" s="6">
        <f t="shared" si="7"/>
        <v>0.39452139238311729</v>
      </c>
      <c r="W52" s="6">
        <f t="shared" si="20"/>
        <v>1</v>
      </c>
      <c r="X52" s="7">
        <f t="shared" si="21"/>
        <v>0.60547860761688277</v>
      </c>
      <c r="Y52" s="7">
        <f t="shared" si="22"/>
        <v>0</v>
      </c>
      <c r="Z52" s="6"/>
      <c r="AB52">
        <f t="shared" si="23"/>
        <v>2005</v>
      </c>
      <c r="AC52" s="1" t="b">
        <f t="shared" si="24"/>
        <v>0</v>
      </c>
      <c r="AE52" s="1" t="b">
        <f t="shared" ref="AE52:AE64" si="35">AND((D52/$I52)&gt;0.15,(D52/$I52)&lt;0.25)</f>
        <v>0</v>
      </c>
      <c r="AF52" s="1" t="b">
        <f t="shared" ref="AF52:AF64" si="36">AND((E52/$I52)&gt;0.05,(E52/$I52)&lt;0.15)</f>
        <v>0</v>
      </c>
      <c r="AH52" s="1" t="b">
        <f t="shared" si="31"/>
        <v>0</v>
      </c>
      <c r="AI52" s="1" t="b">
        <f t="shared" si="26"/>
        <v>0</v>
      </c>
      <c r="AJ52" s="1" t="b">
        <f t="shared" si="27"/>
        <v>1</v>
      </c>
      <c r="AL52">
        <f t="shared" si="28"/>
        <v>2005</v>
      </c>
      <c r="AM52" s="2">
        <f t="shared" ref="AM52:AM64" si="37">$I52*AM$39</f>
        <v>187961.3262562936</v>
      </c>
      <c r="AN52" s="2"/>
      <c r="AO52" s="2">
        <f t="shared" si="33"/>
        <v>0</v>
      </c>
      <c r="AP52" s="2">
        <f t="shared" si="33"/>
        <v>0</v>
      </c>
      <c r="AQ52" s="2"/>
      <c r="AR52" s="2">
        <f t="shared" ref="AR52:AS64" si="38">$I52*AR$39</f>
        <v>0</v>
      </c>
      <c r="AS52" s="2">
        <f t="shared" si="38"/>
        <v>125307.55083752908</v>
      </c>
      <c r="AT52" s="2">
        <f t="shared" si="29"/>
        <v>313268.8770938227</v>
      </c>
      <c r="AU52" s="2">
        <f t="shared" si="30"/>
        <v>0</v>
      </c>
    </row>
    <row r="53" spans="1:47" x14ac:dyDescent="0.25">
      <c r="A53">
        <f t="shared" si="4"/>
        <v>2006</v>
      </c>
      <c r="B53" s="2">
        <f t="shared" si="12"/>
        <v>217358.47768277794</v>
      </c>
      <c r="C53" s="2"/>
      <c r="D53" s="2">
        <f t="shared" si="34"/>
        <v>0</v>
      </c>
      <c r="E53" s="2">
        <f t="shared" si="34"/>
        <v>0</v>
      </c>
      <c r="F53" s="2"/>
      <c r="G53" s="2">
        <f t="shared" si="32"/>
        <v>0</v>
      </c>
      <c r="H53" s="2">
        <f t="shared" si="14"/>
        <v>130658.18325829157</v>
      </c>
      <c r="I53" s="2">
        <f t="shared" si="15"/>
        <v>348016.66094106948</v>
      </c>
      <c r="J53" s="2">
        <f t="shared" si="16"/>
        <v>34747.783847246785</v>
      </c>
      <c r="K53" s="6">
        <f t="shared" si="17"/>
        <v>0.11091999999999991</v>
      </c>
      <c r="L53" s="7">
        <f t="shared" si="18"/>
        <v>1.1109199999999999</v>
      </c>
      <c r="O53">
        <f t="shared" si="19"/>
        <v>2006</v>
      </c>
      <c r="P53" s="6">
        <f t="shared" si="5"/>
        <v>0.62456342490908445</v>
      </c>
      <c r="Q53" s="7"/>
      <c r="R53" s="6">
        <f t="shared" si="5"/>
        <v>0</v>
      </c>
      <c r="S53" s="6">
        <f t="shared" si="5"/>
        <v>0</v>
      </c>
      <c r="T53" s="7"/>
      <c r="U53" s="6">
        <f t="shared" si="5"/>
        <v>0</v>
      </c>
      <c r="V53" s="6">
        <f t="shared" si="7"/>
        <v>0.37543657509091566</v>
      </c>
      <c r="W53" s="6">
        <f t="shared" si="20"/>
        <v>1</v>
      </c>
      <c r="X53" s="7">
        <f t="shared" si="21"/>
        <v>0.62456342490908445</v>
      </c>
      <c r="Y53" s="7">
        <f t="shared" si="22"/>
        <v>0</v>
      </c>
      <c r="Z53" s="6"/>
      <c r="AB53">
        <f t="shared" si="23"/>
        <v>2006</v>
      </c>
      <c r="AC53" s="1" t="b">
        <f t="shared" si="24"/>
        <v>0</v>
      </c>
      <c r="AE53" s="1" t="b">
        <f t="shared" si="35"/>
        <v>0</v>
      </c>
      <c r="AF53" s="1" t="b">
        <f t="shared" si="36"/>
        <v>0</v>
      </c>
      <c r="AH53" s="1" t="b">
        <f t="shared" si="31"/>
        <v>0</v>
      </c>
      <c r="AI53" s="1" t="b">
        <f t="shared" si="26"/>
        <v>0</v>
      </c>
      <c r="AJ53" s="1" t="b">
        <f t="shared" si="27"/>
        <v>1</v>
      </c>
      <c r="AL53">
        <f t="shared" si="28"/>
        <v>2006</v>
      </c>
      <c r="AM53" s="2">
        <f t="shared" si="37"/>
        <v>208809.99656464168</v>
      </c>
      <c r="AN53" s="2"/>
      <c r="AO53" s="2">
        <f t="shared" si="33"/>
        <v>0</v>
      </c>
      <c r="AP53" s="2">
        <f t="shared" si="33"/>
        <v>0</v>
      </c>
      <c r="AQ53" s="2"/>
      <c r="AR53" s="2">
        <f t="shared" si="38"/>
        <v>0</v>
      </c>
      <c r="AS53" s="2">
        <f t="shared" si="38"/>
        <v>139206.6643764278</v>
      </c>
      <c r="AT53" s="2">
        <f t="shared" si="29"/>
        <v>348016.66094106948</v>
      </c>
      <c r="AU53" s="2">
        <f t="shared" si="30"/>
        <v>0</v>
      </c>
    </row>
    <row r="54" spans="1:47" x14ac:dyDescent="0.25">
      <c r="A54">
        <f t="shared" si="4"/>
        <v>2007</v>
      </c>
      <c r="B54" s="2">
        <f t="shared" si="12"/>
        <v>220064.85537947589</v>
      </c>
      <c r="C54" s="2"/>
      <c r="D54" s="2">
        <f t="shared" si="34"/>
        <v>0</v>
      </c>
      <c r="E54" s="2">
        <f t="shared" si="34"/>
        <v>0</v>
      </c>
      <c r="F54" s="2"/>
      <c r="G54" s="2">
        <f t="shared" si="32"/>
        <v>0</v>
      </c>
      <c r="H54" s="2">
        <f t="shared" si="14"/>
        <v>148839.76555127659</v>
      </c>
      <c r="I54" s="2">
        <f t="shared" si="15"/>
        <v>368904.62093075248</v>
      </c>
      <c r="J54" s="2">
        <f t="shared" si="16"/>
        <v>20887.959989683004</v>
      </c>
      <c r="K54" s="6">
        <f t="shared" si="17"/>
        <v>6.0020000000000039E-2</v>
      </c>
      <c r="L54" s="7">
        <f t="shared" si="18"/>
        <v>1.06002</v>
      </c>
      <c r="O54">
        <f t="shared" si="19"/>
        <v>2007</v>
      </c>
      <c r="P54" s="38">
        <f t="shared" si="5"/>
        <v>0.59653591441670917</v>
      </c>
      <c r="Q54" s="7"/>
      <c r="R54" s="6">
        <f t="shared" si="5"/>
        <v>0</v>
      </c>
      <c r="S54" s="6">
        <f t="shared" si="5"/>
        <v>0</v>
      </c>
      <c r="T54" s="7"/>
      <c r="U54" s="38">
        <f t="shared" si="5"/>
        <v>0</v>
      </c>
      <c r="V54" s="38">
        <f t="shared" si="7"/>
        <v>0.40346408558329083</v>
      </c>
      <c r="W54" s="6">
        <f t="shared" si="20"/>
        <v>1</v>
      </c>
      <c r="X54" s="7">
        <f t="shared" si="21"/>
        <v>0.59653591441670917</v>
      </c>
      <c r="Y54" s="7">
        <f t="shared" si="22"/>
        <v>0</v>
      </c>
      <c r="Z54" s="6"/>
      <c r="AB54">
        <f t="shared" si="23"/>
        <v>2007</v>
      </c>
      <c r="AC54" s="39" t="b">
        <f t="shared" si="24"/>
        <v>0</v>
      </c>
      <c r="AE54" s="1" t="b">
        <f t="shared" si="35"/>
        <v>0</v>
      </c>
      <c r="AF54" s="1" t="b">
        <f t="shared" si="36"/>
        <v>0</v>
      </c>
      <c r="AH54" s="39" t="b">
        <f t="shared" si="31"/>
        <v>0</v>
      </c>
      <c r="AI54" s="39" t="b">
        <f t="shared" si="26"/>
        <v>0</v>
      </c>
      <c r="AJ54" s="1" t="b">
        <f t="shared" si="27"/>
        <v>1</v>
      </c>
      <c r="AL54">
        <f t="shared" si="28"/>
        <v>2007</v>
      </c>
      <c r="AM54" s="2">
        <f t="shared" si="37"/>
        <v>221342.77255845148</v>
      </c>
      <c r="AN54" s="2"/>
      <c r="AO54" s="2">
        <f t="shared" si="33"/>
        <v>0</v>
      </c>
      <c r="AP54" s="2">
        <f t="shared" si="33"/>
        <v>0</v>
      </c>
      <c r="AQ54" s="2"/>
      <c r="AR54" s="2">
        <f t="shared" si="38"/>
        <v>0</v>
      </c>
      <c r="AS54" s="2">
        <f t="shared" si="38"/>
        <v>147561.848372301</v>
      </c>
      <c r="AT54" s="2">
        <f t="shared" si="29"/>
        <v>368904.62093075248</v>
      </c>
      <c r="AU54" s="2">
        <f t="shared" si="30"/>
        <v>0</v>
      </c>
    </row>
    <row r="55" spans="1:47" x14ac:dyDescent="0.25">
      <c r="A55">
        <f t="shared" si="4"/>
        <v>2008</v>
      </c>
      <c r="B55" s="2">
        <f t="shared" si="12"/>
        <v>139401.67815731274</v>
      </c>
      <c r="C55" s="2"/>
      <c r="D55" s="2">
        <f t="shared" si="34"/>
        <v>0</v>
      </c>
      <c r="E55" s="2">
        <f t="shared" si="34"/>
        <v>0</v>
      </c>
      <c r="F55" s="2"/>
      <c r="G55" s="2">
        <f t="shared" si="32"/>
        <v>0</v>
      </c>
      <c r="H55" s="2">
        <f t="shared" si="14"/>
        <v>155013.72171510221</v>
      </c>
      <c r="I55" s="2">
        <f t="shared" si="15"/>
        <v>294415.39987241494</v>
      </c>
      <c r="J55" s="2">
        <f t="shared" si="16"/>
        <v>-74489.221058337542</v>
      </c>
      <c r="K55" s="6">
        <f t="shared" si="17"/>
        <v>-0.20191999999999999</v>
      </c>
      <c r="L55" s="7">
        <f t="shared" si="18"/>
        <v>0.79808000000000001</v>
      </c>
      <c r="O55">
        <f t="shared" si="19"/>
        <v>2008</v>
      </c>
      <c r="P55" s="6">
        <f t="shared" si="5"/>
        <v>0.47348636728147553</v>
      </c>
      <c r="Q55" s="7"/>
      <c r="R55" s="6">
        <f t="shared" si="5"/>
        <v>0</v>
      </c>
      <c r="S55" s="6">
        <f t="shared" si="5"/>
        <v>0</v>
      </c>
      <c r="T55" s="7"/>
      <c r="U55" s="6">
        <f t="shared" si="5"/>
        <v>0</v>
      </c>
      <c r="V55" s="38">
        <f t="shared" si="7"/>
        <v>0.52651363271852447</v>
      </c>
      <c r="W55" s="6">
        <f t="shared" si="20"/>
        <v>1</v>
      </c>
      <c r="X55" s="7">
        <f t="shared" si="21"/>
        <v>0.47348636728147553</v>
      </c>
      <c r="Y55" s="7">
        <f t="shared" si="22"/>
        <v>0</v>
      </c>
      <c r="Z55" s="6"/>
      <c r="AB55">
        <f t="shared" si="23"/>
        <v>2008</v>
      </c>
      <c r="AC55" s="1" t="b">
        <f t="shared" si="24"/>
        <v>0</v>
      </c>
      <c r="AE55" s="1" t="b">
        <f t="shared" si="35"/>
        <v>0</v>
      </c>
      <c r="AF55" s="1" t="b">
        <f t="shared" si="36"/>
        <v>0</v>
      </c>
      <c r="AH55" s="1" t="b">
        <f t="shared" si="31"/>
        <v>0</v>
      </c>
      <c r="AI55" s="39" t="b">
        <f t="shared" si="26"/>
        <v>0</v>
      </c>
      <c r="AJ55" s="1" t="b">
        <f t="shared" si="27"/>
        <v>1</v>
      </c>
      <c r="AL55">
        <f t="shared" si="28"/>
        <v>2008</v>
      </c>
      <c r="AM55" s="2">
        <f t="shared" si="37"/>
        <v>176649.23992344897</v>
      </c>
      <c r="AN55" s="2"/>
      <c r="AO55" s="2">
        <f t="shared" si="33"/>
        <v>0</v>
      </c>
      <c r="AP55" s="2">
        <f t="shared" si="33"/>
        <v>0</v>
      </c>
      <c r="AQ55" s="2"/>
      <c r="AR55" s="2">
        <f t="shared" si="38"/>
        <v>0</v>
      </c>
      <c r="AS55" s="2">
        <f t="shared" si="38"/>
        <v>117766.15994896599</v>
      </c>
      <c r="AT55" s="2">
        <f t="shared" si="29"/>
        <v>294415.39987241494</v>
      </c>
      <c r="AU55" s="2">
        <f t="shared" si="30"/>
        <v>0</v>
      </c>
    </row>
    <row r="56" spans="1:47" x14ac:dyDescent="0.25">
      <c r="A56">
        <f t="shared" si="4"/>
        <v>2009</v>
      </c>
      <c r="B56" s="2">
        <f t="shared" si="12"/>
        <v>223443.62357917058</v>
      </c>
      <c r="C56" s="2"/>
      <c r="D56" s="2">
        <f t="shared" si="34"/>
        <v>0</v>
      </c>
      <c r="E56" s="2">
        <f t="shared" si="34"/>
        <v>0</v>
      </c>
      <c r="F56" s="2"/>
      <c r="G56" s="2">
        <f t="shared" si="32"/>
        <v>0</v>
      </c>
      <c r="H56" s="2">
        <f t="shared" si="14"/>
        <v>124749.69323393966</v>
      </c>
      <c r="I56" s="2">
        <f t="shared" si="15"/>
        <v>348193.31681311026</v>
      </c>
      <c r="J56" s="2">
        <f>I56-I55</f>
        <v>53777.916940695315</v>
      </c>
      <c r="K56" s="6">
        <f>(J56/I55)</f>
        <v>0.18266000000000002</v>
      </c>
      <c r="L56" s="7">
        <f t="shared" si="18"/>
        <v>1.18266</v>
      </c>
      <c r="O56">
        <f t="shared" si="19"/>
        <v>2009</v>
      </c>
      <c r="P56" s="6">
        <f t="shared" si="5"/>
        <v>0.64172289584495967</v>
      </c>
      <c r="Q56" s="7"/>
      <c r="R56" s="6">
        <f t="shared" si="5"/>
        <v>0</v>
      </c>
      <c r="S56" s="6">
        <f t="shared" si="5"/>
        <v>0</v>
      </c>
      <c r="T56" s="7"/>
      <c r="U56" s="6">
        <f t="shared" si="5"/>
        <v>0</v>
      </c>
      <c r="V56" s="6">
        <f t="shared" si="7"/>
        <v>0.35827710415504033</v>
      </c>
      <c r="W56" s="6">
        <f t="shared" si="20"/>
        <v>1</v>
      </c>
      <c r="X56" s="7">
        <f t="shared" si="21"/>
        <v>0.64172289584495967</v>
      </c>
      <c r="Y56" s="7">
        <f t="shared" si="22"/>
        <v>0</v>
      </c>
      <c r="Z56" s="6"/>
      <c r="AB56">
        <f t="shared" si="23"/>
        <v>2009</v>
      </c>
      <c r="AC56" s="1" t="b">
        <f t="shared" si="24"/>
        <v>0</v>
      </c>
      <c r="AE56" s="1" t="b">
        <f t="shared" si="35"/>
        <v>0</v>
      </c>
      <c r="AF56" s="1" t="b">
        <f t="shared" si="36"/>
        <v>0</v>
      </c>
      <c r="AH56" s="1" t="b">
        <f t="shared" si="31"/>
        <v>0</v>
      </c>
      <c r="AI56" s="1" t="b">
        <f t="shared" si="26"/>
        <v>0</v>
      </c>
      <c r="AJ56" s="1" t="b">
        <f t="shared" si="27"/>
        <v>1</v>
      </c>
      <c r="AL56">
        <f t="shared" si="28"/>
        <v>2009</v>
      </c>
      <c r="AM56" s="2">
        <f t="shared" si="37"/>
        <v>208915.99008786614</v>
      </c>
      <c r="AN56" s="2"/>
      <c r="AO56" s="2">
        <f t="shared" si="33"/>
        <v>0</v>
      </c>
      <c r="AP56" s="2">
        <f t="shared" si="33"/>
        <v>0</v>
      </c>
      <c r="AQ56" s="2"/>
      <c r="AR56" s="2">
        <f t="shared" si="38"/>
        <v>0</v>
      </c>
      <c r="AS56" s="2">
        <f t="shared" si="38"/>
        <v>139277.32672524411</v>
      </c>
      <c r="AT56" s="2">
        <f t="shared" si="29"/>
        <v>348193.31681311026</v>
      </c>
      <c r="AU56" s="2">
        <f t="shared" si="30"/>
        <v>0</v>
      </c>
    </row>
    <row r="57" spans="1:47" x14ac:dyDescent="0.25">
      <c r="A57">
        <f t="shared" si="4"/>
        <v>2010</v>
      </c>
      <c r="B57" s="2">
        <f t="shared" ref="B57:B64" si="39">AM56*(1+(B21/100))</f>
        <v>240065.364209967</v>
      </c>
      <c r="C57" s="2"/>
      <c r="D57" s="2">
        <f t="shared" si="34"/>
        <v>0</v>
      </c>
      <c r="E57" s="2">
        <f t="shared" si="34"/>
        <v>0</v>
      </c>
      <c r="F57" s="2"/>
      <c r="G57" s="2">
        <f t="shared" si="32"/>
        <v>0</v>
      </c>
      <c r="H57" s="2">
        <f t="shared" si="14"/>
        <v>148218.9311010048</v>
      </c>
      <c r="I57" s="2">
        <f t="shared" si="15"/>
        <v>388284.29531097179</v>
      </c>
      <c r="J57" s="2">
        <f t="shared" si="16"/>
        <v>40090.978497861535</v>
      </c>
      <c r="K57" s="6">
        <f t="shared" si="17"/>
        <v>0.11514000000000006</v>
      </c>
      <c r="L57" s="7">
        <f t="shared" si="18"/>
        <v>1.11514</v>
      </c>
      <c r="O57">
        <f t="shared" si="19"/>
        <v>2010</v>
      </c>
      <c r="P57" s="6">
        <f t="shared" si="5"/>
        <v>0.61827214520149931</v>
      </c>
      <c r="Q57" s="7"/>
      <c r="R57" s="6">
        <f t="shared" si="5"/>
        <v>0</v>
      </c>
      <c r="S57" s="6">
        <f t="shared" si="5"/>
        <v>0</v>
      </c>
      <c r="T57" s="7"/>
      <c r="U57" s="6">
        <f t="shared" si="5"/>
        <v>0</v>
      </c>
      <c r="V57" s="6">
        <f t="shared" si="7"/>
        <v>0.38172785479850069</v>
      </c>
      <c r="W57" s="6">
        <f t="shared" si="20"/>
        <v>1</v>
      </c>
      <c r="X57" s="7">
        <f t="shared" si="21"/>
        <v>0.61827214520149931</v>
      </c>
      <c r="Y57" s="7">
        <f t="shared" si="22"/>
        <v>0</v>
      </c>
      <c r="Z57" s="6"/>
      <c r="AB57">
        <f t="shared" si="23"/>
        <v>2010</v>
      </c>
      <c r="AC57" s="1" t="b">
        <f t="shared" si="24"/>
        <v>0</v>
      </c>
      <c r="AE57" s="1" t="b">
        <f t="shared" si="35"/>
        <v>0</v>
      </c>
      <c r="AF57" s="1" t="b">
        <f t="shared" si="36"/>
        <v>0</v>
      </c>
      <c r="AH57" s="1" t="b">
        <f t="shared" si="31"/>
        <v>0</v>
      </c>
      <c r="AI57" s="1" t="b">
        <f t="shared" si="26"/>
        <v>0</v>
      </c>
      <c r="AJ57" s="1" t="b">
        <f t="shared" si="27"/>
        <v>1</v>
      </c>
      <c r="AL57">
        <f t="shared" si="28"/>
        <v>2010</v>
      </c>
      <c r="AM57" s="2">
        <f t="shared" si="37"/>
        <v>232970.57718658308</v>
      </c>
      <c r="AN57" s="2"/>
      <c r="AO57" s="2">
        <f t="shared" si="33"/>
        <v>0</v>
      </c>
      <c r="AP57" s="2">
        <f t="shared" si="33"/>
        <v>0</v>
      </c>
      <c r="AQ57" s="2"/>
      <c r="AR57" s="2">
        <f t="shared" si="38"/>
        <v>0</v>
      </c>
      <c r="AS57" s="2">
        <f t="shared" si="38"/>
        <v>155313.71812438872</v>
      </c>
      <c r="AT57" s="2">
        <f t="shared" si="29"/>
        <v>388284.29531097179</v>
      </c>
      <c r="AU57" s="2">
        <f t="shared" si="30"/>
        <v>0</v>
      </c>
    </row>
    <row r="58" spans="1:47" x14ac:dyDescent="0.25">
      <c r="A58">
        <f t="shared" si="4"/>
        <v>2011</v>
      </c>
      <c r="B58" s="2">
        <f t="shared" si="39"/>
        <v>237560.09755715876</v>
      </c>
      <c r="C58" s="2"/>
      <c r="D58" s="2">
        <f t="shared" si="34"/>
        <v>0</v>
      </c>
      <c r="E58" s="2">
        <f t="shared" si="34"/>
        <v>0</v>
      </c>
      <c r="F58" s="2"/>
      <c r="G58" s="2">
        <f t="shared" si="32"/>
        <v>0</v>
      </c>
      <c r="H58" s="2">
        <f t="shared" si="14"/>
        <v>167055.43521459252</v>
      </c>
      <c r="I58" s="2">
        <f t="shared" si="15"/>
        <v>404615.53277175128</v>
      </c>
      <c r="J58" s="2">
        <f t="shared" si="16"/>
        <v>16331.237460779492</v>
      </c>
      <c r="K58" s="6">
        <f t="shared" si="17"/>
        <v>4.2060000000000049E-2</v>
      </c>
      <c r="L58" s="7">
        <f t="shared" si="18"/>
        <v>1.04206</v>
      </c>
      <c r="O58">
        <f t="shared" si="19"/>
        <v>2011</v>
      </c>
      <c r="P58" s="6">
        <f t="shared" si="5"/>
        <v>0.58712550141066733</v>
      </c>
      <c r="Q58" s="7"/>
      <c r="R58" s="6">
        <f t="shared" si="5"/>
        <v>0</v>
      </c>
      <c r="S58" s="6">
        <f t="shared" si="5"/>
        <v>0</v>
      </c>
      <c r="T58" s="7"/>
      <c r="U58" s="6">
        <f t="shared" si="5"/>
        <v>0</v>
      </c>
      <c r="V58" s="38">
        <f t="shared" si="7"/>
        <v>0.41287449858933267</v>
      </c>
      <c r="W58" s="6">
        <f t="shared" si="20"/>
        <v>1</v>
      </c>
      <c r="X58" s="7">
        <f t="shared" si="21"/>
        <v>0.58712550141066733</v>
      </c>
      <c r="Y58" s="7">
        <f t="shared" si="22"/>
        <v>0</v>
      </c>
      <c r="Z58" s="6"/>
      <c r="AB58">
        <f t="shared" si="23"/>
        <v>2011</v>
      </c>
      <c r="AC58" s="1" t="b">
        <f t="shared" si="24"/>
        <v>0</v>
      </c>
      <c r="AE58" s="1" t="b">
        <f t="shared" si="35"/>
        <v>0</v>
      </c>
      <c r="AF58" s="1" t="b">
        <f t="shared" si="36"/>
        <v>0</v>
      </c>
      <c r="AH58" s="1" t="b">
        <f t="shared" si="31"/>
        <v>0</v>
      </c>
      <c r="AI58" s="39" t="b">
        <f t="shared" si="26"/>
        <v>0</v>
      </c>
      <c r="AJ58" s="1" t="b">
        <f t="shared" si="27"/>
        <v>1</v>
      </c>
      <c r="AL58">
        <f t="shared" si="28"/>
        <v>2011</v>
      </c>
      <c r="AM58" s="2">
        <f t="shared" si="37"/>
        <v>242769.31966305076</v>
      </c>
      <c r="AN58" s="2"/>
      <c r="AO58" s="2">
        <f t="shared" si="33"/>
        <v>0</v>
      </c>
      <c r="AP58" s="2">
        <f t="shared" si="33"/>
        <v>0</v>
      </c>
      <c r="AQ58" s="2"/>
      <c r="AR58" s="2">
        <f t="shared" si="38"/>
        <v>0</v>
      </c>
      <c r="AS58" s="2">
        <f t="shared" si="38"/>
        <v>161846.21310870053</v>
      </c>
      <c r="AT58" s="2">
        <f t="shared" si="29"/>
        <v>404615.53277175128</v>
      </c>
      <c r="AU58" s="2">
        <f t="shared" si="30"/>
        <v>0</v>
      </c>
    </row>
    <row r="59" spans="1:47" x14ac:dyDescent="0.25">
      <c r="A59">
        <f t="shared" si="4"/>
        <v>2012</v>
      </c>
      <c r="B59" s="2">
        <f t="shared" si="39"/>
        <v>281175.42603374535</v>
      </c>
      <c r="C59" s="2"/>
      <c r="D59" s="2">
        <f t="shared" si="34"/>
        <v>0</v>
      </c>
      <c r="E59" s="2">
        <f t="shared" si="34"/>
        <v>0</v>
      </c>
      <c r="F59" s="2"/>
      <c r="G59" s="2">
        <f t="shared" si="32"/>
        <v>0</v>
      </c>
      <c r="H59" s="2">
        <f t="shared" si="14"/>
        <v>168400.98473960289</v>
      </c>
      <c r="I59" s="2">
        <f t="shared" si="15"/>
        <v>449576.41077334824</v>
      </c>
      <c r="J59" s="2">
        <f t="shared" si="16"/>
        <v>44960.878001596953</v>
      </c>
      <c r="K59" s="6">
        <f t="shared" si="17"/>
        <v>0.11111999999999987</v>
      </c>
      <c r="L59" s="7">
        <f t="shared" si="18"/>
        <v>1.1111199999999999</v>
      </c>
      <c r="O59">
        <f t="shared" si="19"/>
        <v>2012</v>
      </c>
      <c r="P59" s="6">
        <f t="shared" si="5"/>
        <v>0.62542299661602696</v>
      </c>
      <c r="Q59" s="7"/>
      <c r="R59" s="6">
        <f t="shared" si="5"/>
        <v>0</v>
      </c>
      <c r="S59" s="6">
        <f t="shared" si="5"/>
        <v>0</v>
      </c>
      <c r="T59" s="7"/>
      <c r="U59" s="6">
        <f t="shared" si="5"/>
        <v>0</v>
      </c>
      <c r="V59" s="6">
        <f t="shared" si="7"/>
        <v>0.37457700338397298</v>
      </c>
      <c r="W59" s="6">
        <f t="shared" si="20"/>
        <v>1</v>
      </c>
      <c r="X59" s="7">
        <f t="shared" si="21"/>
        <v>0.62542299661602696</v>
      </c>
      <c r="Y59" s="7">
        <f t="shared" si="22"/>
        <v>0</v>
      </c>
      <c r="Z59" s="6"/>
      <c r="AA59" s="7">
        <f>SUM(P59:U59)</f>
        <v>0.62542299661602696</v>
      </c>
      <c r="AB59">
        <f t="shared" si="23"/>
        <v>2012</v>
      </c>
      <c r="AC59" s="1" t="b">
        <f t="shared" si="24"/>
        <v>0</v>
      </c>
      <c r="AE59" s="1" t="b">
        <f t="shared" si="35"/>
        <v>0</v>
      </c>
      <c r="AF59" s="1" t="b">
        <f t="shared" si="36"/>
        <v>0</v>
      </c>
      <c r="AH59" s="1" t="b">
        <f t="shared" si="31"/>
        <v>0</v>
      </c>
      <c r="AI59" s="1" t="b">
        <f t="shared" si="26"/>
        <v>0</v>
      </c>
      <c r="AJ59" s="1" t="b">
        <f t="shared" si="27"/>
        <v>1</v>
      </c>
      <c r="AL59">
        <f t="shared" si="28"/>
        <v>2012</v>
      </c>
      <c r="AM59" s="2">
        <f t="shared" si="37"/>
        <v>269745.84646400891</v>
      </c>
      <c r="AN59" s="2"/>
      <c r="AO59" s="2">
        <f t="shared" si="33"/>
        <v>0</v>
      </c>
      <c r="AP59" s="2">
        <f t="shared" si="33"/>
        <v>0</v>
      </c>
      <c r="AQ59" s="2"/>
      <c r="AR59" s="2">
        <f t="shared" si="38"/>
        <v>0</v>
      </c>
      <c r="AS59" s="2">
        <f t="shared" si="38"/>
        <v>179830.5643093393</v>
      </c>
      <c r="AT59" s="2">
        <f t="shared" si="29"/>
        <v>449576.41077334824</v>
      </c>
      <c r="AU59" s="2">
        <f t="shared" si="30"/>
        <v>0</v>
      </c>
    </row>
    <row r="60" spans="1:47" x14ac:dyDescent="0.25">
      <c r="A60">
        <f t="shared" si="4"/>
        <v>2013</v>
      </c>
      <c r="B60" s="2">
        <f t="shared" si="39"/>
        <v>356550.05985612702</v>
      </c>
      <c r="C60" s="2"/>
      <c r="D60" s="2">
        <f t="shared" si="34"/>
        <v>0</v>
      </c>
      <c r="E60" s="2">
        <f t="shared" si="34"/>
        <v>0</v>
      </c>
      <c r="F60" s="2"/>
      <c r="G60" s="2">
        <f t="shared" si="32"/>
        <v>0</v>
      </c>
      <c r="H60" s="2">
        <f t="shared" si="14"/>
        <v>175766.39355594825</v>
      </c>
      <c r="I60" s="2">
        <f t="shared" si="15"/>
        <v>532316.45341207529</v>
      </c>
      <c r="J60" s="2">
        <f t="shared" si="16"/>
        <v>82740.042638727056</v>
      </c>
      <c r="K60" s="6">
        <f t="shared" si="17"/>
        <v>0.18404000000000009</v>
      </c>
      <c r="L60" s="7">
        <f t="shared" si="18"/>
        <v>1.18404</v>
      </c>
      <c r="O60">
        <f t="shared" si="19"/>
        <v>2013</v>
      </c>
      <c r="P60" s="6">
        <f t="shared" si="5"/>
        <v>0.66980845241714804</v>
      </c>
      <c r="Q60" s="7"/>
      <c r="R60" s="6">
        <f t="shared" si="5"/>
        <v>0</v>
      </c>
      <c r="S60" s="6">
        <f t="shared" si="5"/>
        <v>0</v>
      </c>
      <c r="T60" s="7"/>
      <c r="U60" s="6">
        <f t="shared" si="5"/>
        <v>0</v>
      </c>
      <c r="V60" s="38">
        <f t="shared" si="7"/>
        <v>0.33019154758285196</v>
      </c>
      <c r="W60" s="6">
        <f t="shared" si="20"/>
        <v>1</v>
      </c>
      <c r="X60" s="7">
        <f t="shared" si="21"/>
        <v>0.66980845241714804</v>
      </c>
      <c r="Y60" s="7">
        <f t="shared" si="22"/>
        <v>0</v>
      </c>
      <c r="Z60" s="6"/>
      <c r="AB60">
        <f t="shared" si="23"/>
        <v>2013</v>
      </c>
      <c r="AC60" s="1" t="b">
        <f t="shared" si="24"/>
        <v>0</v>
      </c>
      <c r="AE60" s="1" t="b">
        <f t="shared" si="35"/>
        <v>0</v>
      </c>
      <c r="AF60" s="1" t="b">
        <f t="shared" si="36"/>
        <v>0</v>
      </c>
      <c r="AH60" s="1" t="b">
        <f t="shared" si="31"/>
        <v>0</v>
      </c>
      <c r="AI60" s="39" t="b">
        <f t="shared" si="26"/>
        <v>1</v>
      </c>
      <c r="AJ60" s="1" t="b">
        <f t="shared" si="27"/>
        <v>1</v>
      </c>
      <c r="AL60">
        <f t="shared" si="28"/>
        <v>2013</v>
      </c>
      <c r="AM60" s="2">
        <f t="shared" si="37"/>
        <v>319389.87204724515</v>
      </c>
      <c r="AN60" s="2"/>
      <c r="AO60" s="2">
        <f t="shared" si="33"/>
        <v>0</v>
      </c>
      <c r="AP60" s="2">
        <f t="shared" si="33"/>
        <v>0</v>
      </c>
      <c r="AQ60" s="2"/>
      <c r="AR60" s="2">
        <f t="shared" si="38"/>
        <v>0</v>
      </c>
      <c r="AS60" s="2">
        <f t="shared" si="38"/>
        <v>212926.58136483014</v>
      </c>
      <c r="AT60" s="2">
        <f t="shared" si="29"/>
        <v>532316.45341207529</v>
      </c>
      <c r="AU60" s="2">
        <f t="shared" si="30"/>
        <v>0</v>
      </c>
    </row>
    <row r="61" spans="1:47" x14ac:dyDescent="0.25">
      <c r="A61">
        <f t="shared" si="4"/>
        <v>2014</v>
      </c>
      <c r="B61" s="2">
        <f t="shared" si="39"/>
        <v>362539.443760828</v>
      </c>
      <c r="C61" s="2"/>
      <c r="D61" s="2">
        <f t="shared" si="34"/>
        <v>0</v>
      </c>
      <c r="E61" s="2">
        <f t="shared" si="34"/>
        <v>0</v>
      </c>
      <c r="F61" s="2"/>
      <c r="G61" s="2">
        <f t="shared" si="32"/>
        <v>0</v>
      </c>
      <c r="H61" s="2">
        <f t="shared" si="14"/>
        <v>225191.15245144439</v>
      </c>
      <c r="I61" s="2">
        <f t="shared" si="15"/>
        <v>587730.59621227242</v>
      </c>
      <c r="J61" s="2">
        <f t="shared" si="16"/>
        <v>55414.142800197122</v>
      </c>
      <c r="K61" s="6">
        <f t="shared" si="17"/>
        <v>0.10410000000000015</v>
      </c>
      <c r="L61" s="7">
        <f t="shared" si="18"/>
        <v>1.1041000000000001</v>
      </c>
      <c r="O61">
        <f t="shared" si="19"/>
        <v>2014</v>
      </c>
      <c r="P61" s="6">
        <f t="shared" si="5"/>
        <v>0.61684630015397146</v>
      </c>
      <c r="Q61" s="7"/>
      <c r="R61" s="6">
        <f t="shared" si="5"/>
        <v>0</v>
      </c>
      <c r="S61" s="6">
        <f t="shared" si="5"/>
        <v>0</v>
      </c>
      <c r="T61" s="7"/>
      <c r="U61" s="6">
        <f t="shared" si="5"/>
        <v>0</v>
      </c>
      <c r="V61" s="6">
        <f t="shared" si="7"/>
        <v>0.38315369984602848</v>
      </c>
      <c r="W61" s="6">
        <f t="shared" si="20"/>
        <v>1</v>
      </c>
      <c r="X61" s="7">
        <f t="shared" si="21"/>
        <v>0.61684630015397146</v>
      </c>
      <c r="Y61" s="7">
        <f t="shared" si="22"/>
        <v>0</v>
      </c>
      <c r="Z61" s="6"/>
      <c r="AB61">
        <f t="shared" si="23"/>
        <v>2014</v>
      </c>
      <c r="AC61" s="1" t="b">
        <f t="shared" si="24"/>
        <v>0</v>
      </c>
      <c r="AE61" s="1" t="b">
        <f t="shared" si="35"/>
        <v>0</v>
      </c>
      <c r="AF61" s="1" t="b">
        <f t="shared" si="36"/>
        <v>0</v>
      </c>
      <c r="AH61" s="1" t="b">
        <f t="shared" si="31"/>
        <v>0</v>
      </c>
      <c r="AI61" s="1" t="b">
        <f t="shared" si="26"/>
        <v>0</v>
      </c>
      <c r="AJ61" s="1" t="b">
        <f t="shared" si="27"/>
        <v>1</v>
      </c>
      <c r="AL61">
        <f t="shared" si="28"/>
        <v>2014</v>
      </c>
      <c r="AM61" s="2">
        <f t="shared" si="37"/>
        <v>352638.35772736341</v>
      </c>
      <c r="AN61" s="2"/>
      <c r="AO61" s="2">
        <f t="shared" si="33"/>
        <v>0</v>
      </c>
      <c r="AP61" s="2">
        <f t="shared" si="33"/>
        <v>0</v>
      </c>
      <c r="AQ61" s="2"/>
      <c r="AR61" s="2">
        <f t="shared" si="38"/>
        <v>0</v>
      </c>
      <c r="AS61" s="2">
        <f t="shared" si="38"/>
        <v>235092.23848490897</v>
      </c>
      <c r="AT61" s="2">
        <f t="shared" si="29"/>
        <v>587730.59621227242</v>
      </c>
      <c r="AU61" s="2">
        <f t="shared" si="30"/>
        <v>0</v>
      </c>
    </row>
    <row r="62" spans="1:47" x14ac:dyDescent="0.25">
      <c r="A62">
        <f t="shared" si="4"/>
        <v>2015</v>
      </c>
      <c r="B62" s="2">
        <f t="shared" si="39"/>
        <v>357046.33719895541</v>
      </c>
      <c r="C62" s="2"/>
      <c r="D62" s="2">
        <f t="shared" si="34"/>
        <v>0</v>
      </c>
      <c r="E62" s="2">
        <f t="shared" si="34"/>
        <v>0</v>
      </c>
      <c r="F62" s="2"/>
      <c r="G62" s="2">
        <f t="shared" si="32"/>
        <v>0</v>
      </c>
      <c r="H62" s="2">
        <f t="shared" si="14"/>
        <v>235797.51520036368</v>
      </c>
      <c r="I62" s="2">
        <f t="shared" si="15"/>
        <v>592843.85239931906</v>
      </c>
      <c r="J62" s="2">
        <f t="shared" si="16"/>
        <v>5113.2561870466452</v>
      </c>
      <c r="K62" s="6">
        <f t="shared" si="17"/>
        <v>8.6999999999997878E-3</v>
      </c>
      <c r="L62" s="7">
        <f t="shared" si="18"/>
        <v>1.0086999999999997</v>
      </c>
      <c r="O62">
        <f t="shared" si="19"/>
        <v>2015</v>
      </c>
      <c r="P62" s="6">
        <f t="shared" si="5"/>
        <v>0.60226033508476251</v>
      </c>
      <c r="Q62" s="7"/>
      <c r="R62" s="6">
        <f t="shared" si="5"/>
        <v>0</v>
      </c>
      <c r="S62" s="6">
        <f t="shared" si="5"/>
        <v>0</v>
      </c>
      <c r="T62" s="7"/>
      <c r="U62" s="6">
        <f t="shared" si="5"/>
        <v>0</v>
      </c>
      <c r="V62" s="38">
        <f t="shared" si="7"/>
        <v>0.39773966491523749</v>
      </c>
      <c r="W62" s="6">
        <f t="shared" si="20"/>
        <v>1</v>
      </c>
      <c r="X62" s="7">
        <f t="shared" si="21"/>
        <v>0.60226033508476251</v>
      </c>
      <c r="Y62" s="7">
        <f t="shared" si="22"/>
        <v>0</v>
      </c>
      <c r="Z62" s="6"/>
      <c r="AB62">
        <f t="shared" si="23"/>
        <v>2015</v>
      </c>
      <c r="AC62" s="1" t="b">
        <f t="shared" si="24"/>
        <v>0</v>
      </c>
      <c r="AE62" s="1" t="b">
        <f t="shared" si="35"/>
        <v>0</v>
      </c>
      <c r="AF62" s="1" t="b">
        <f t="shared" si="36"/>
        <v>0</v>
      </c>
      <c r="AH62" s="1" t="b">
        <f t="shared" si="31"/>
        <v>0</v>
      </c>
      <c r="AI62" s="39" t="b">
        <f t="shared" si="26"/>
        <v>0</v>
      </c>
      <c r="AJ62" s="1" t="b">
        <f t="shared" si="27"/>
        <v>1</v>
      </c>
      <c r="AL62">
        <f t="shared" si="28"/>
        <v>2015</v>
      </c>
      <c r="AM62" s="2">
        <f t="shared" si="37"/>
        <v>355706.3114395914</v>
      </c>
      <c r="AN62" s="2"/>
      <c r="AO62" s="2">
        <f t="shared" si="33"/>
        <v>0</v>
      </c>
      <c r="AP62" s="2">
        <f t="shared" si="33"/>
        <v>0</v>
      </c>
      <c r="AQ62" s="2"/>
      <c r="AR62" s="2">
        <f t="shared" si="38"/>
        <v>0</v>
      </c>
      <c r="AS62" s="2">
        <f t="shared" si="38"/>
        <v>237137.54095972763</v>
      </c>
      <c r="AT62" s="2">
        <f t="shared" si="29"/>
        <v>592843.85239931906</v>
      </c>
      <c r="AU62" s="2">
        <f t="shared" si="30"/>
        <v>0</v>
      </c>
    </row>
    <row r="63" spans="1:47" x14ac:dyDescent="0.25">
      <c r="A63">
        <f t="shared" si="4"/>
        <v>2016</v>
      </c>
      <c r="B63" s="2">
        <f t="shared" si="39"/>
        <v>397750.79745175113</v>
      </c>
      <c r="C63" s="2"/>
      <c r="D63" s="2">
        <f t="shared" si="34"/>
        <v>0</v>
      </c>
      <c r="E63" s="2">
        <f t="shared" si="34"/>
        <v>0</v>
      </c>
      <c r="F63" s="2"/>
      <c r="G63" s="2">
        <f t="shared" si="32"/>
        <v>0</v>
      </c>
      <c r="H63" s="2">
        <f t="shared" si="14"/>
        <v>243065.97948372079</v>
      </c>
      <c r="I63" s="2">
        <f t="shared" si="15"/>
        <v>640816.77693547192</v>
      </c>
      <c r="J63" s="2">
        <f t="shared" si="16"/>
        <v>47972.924536152859</v>
      </c>
      <c r="K63" s="6">
        <f t="shared" si="17"/>
        <v>8.0919999999999936E-2</v>
      </c>
      <c r="L63" s="7">
        <f t="shared" si="18"/>
        <v>1.0809199999999999</v>
      </c>
      <c r="O63">
        <f t="shared" si="19"/>
        <v>2016</v>
      </c>
      <c r="P63" s="6">
        <f t="shared" si="5"/>
        <v>0.62069348332901608</v>
      </c>
      <c r="Q63" s="7"/>
      <c r="R63" s="6">
        <f t="shared" si="5"/>
        <v>0</v>
      </c>
      <c r="S63" s="6">
        <f t="shared" si="5"/>
        <v>0</v>
      </c>
      <c r="T63" s="7"/>
      <c r="U63" s="6">
        <f t="shared" si="5"/>
        <v>0</v>
      </c>
      <c r="V63" s="6">
        <f t="shared" si="7"/>
        <v>0.37930651667098397</v>
      </c>
      <c r="W63" s="6">
        <f t="shared" si="20"/>
        <v>1</v>
      </c>
      <c r="X63" s="7">
        <f t="shared" si="21"/>
        <v>0.62069348332901608</v>
      </c>
      <c r="Y63" s="7">
        <f t="shared" si="22"/>
        <v>0</v>
      </c>
      <c r="Z63" s="6"/>
      <c r="AB63">
        <f t="shared" si="23"/>
        <v>2016</v>
      </c>
      <c r="AC63" s="1" t="b">
        <f t="shared" si="24"/>
        <v>0</v>
      </c>
      <c r="AE63" s="1" t="b">
        <f t="shared" si="35"/>
        <v>0</v>
      </c>
      <c r="AF63" s="1" t="b">
        <f t="shared" si="36"/>
        <v>0</v>
      </c>
      <c r="AH63" s="1" t="b">
        <f t="shared" si="31"/>
        <v>0</v>
      </c>
      <c r="AI63" s="1" t="b">
        <f t="shared" si="26"/>
        <v>0</v>
      </c>
      <c r="AJ63" s="1" t="b">
        <f t="shared" si="27"/>
        <v>1</v>
      </c>
      <c r="AL63">
        <f t="shared" si="28"/>
        <v>2016</v>
      </c>
      <c r="AM63" s="2">
        <f t="shared" si="37"/>
        <v>384490.06616128312</v>
      </c>
      <c r="AN63" s="2"/>
      <c r="AO63" s="2">
        <f t="shared" si="33"/>
        <v>0</v>
      </c>
      <c r="AP63" s="2">
        <f t="shared" si="33"/>
        <v>0</v>
      </c>
      <c r="AQ63" s="2"/>
      <c r="AR63" s="2">
        <f t="shared" si="38"/>
        <v>0</v>
      </c>
      <c r="AS63" s="2">
        <f t="shared" si="38"/>
        <v>256326.71077418877</v>
      </c>
      <c r="AT63" s="2">
        <f t="shared" si="29"/>
        <v>640816.77693547192</v>
      </c>
      <c r="AU63" s="2">
        <f t="shared" si="30"/>
        <v>0</v>
      </c>
    </row>
    <row r="64" spans="1:47" x14ac:dyDescent="0.25">
      <c r="A64">
        <f t="shared" si="4"/>
        <v>2017</v>
      </c>
      <c r="B64" s="2">
        <f t="shared" si="39"/>
        <v>467809.06349843316</v>
      </c>
      <c r="C64" s="2"/>
      <c r="D64" s="2">
        <f t="shared" si="34"/>
        <v>0</v>
      </c>
      <c r="E64" s="2">
        <f t="shared" si="34"/>
        <v>0</v>
      </c>
      <c r="F64" s="2"/>
      <c r="G64" s="2">
        <f t="shared" si="32"/>
        <v>0</v>
      </c>
      <c r="H64" s="2">
        <f t="shared" si="14"/>
        <v>265195.6149669757</v>
      </c>
      <c r="I64" s="2">
        <f t="shared" si="15"/>
        <v>733004.67846540886</v>
      </c>
      <c r="J64" s="2">
        <f t="shared" si="16"/>
        <v>92187.901529936935</v>
      </c>
      <c r="K64" s="6">
        <f t="shared" si="17"/>
        <v>0.1438599999999999</v>
      </c>
      <c r="L64" s="7">
        <f t="shared" si="18"/>
        <v>1.1438599999999999</v>
      </c>
      <c r="O64">
        <f t="shared" si="19"/>
        <v>2017</v>
      </c>
      <c r="P64" s="6">
        <f t="shared" si="5"/>
        <v>0.63820747294249291</v>
      </c>
      <c r="Q64" s="7"/>
      <c r="R64" s="6">
        <f t="shared" si="5"/>
        <v>0</v>
      </c>
      <c r="S64" s="6">
        <f t="shared" si="5"/>
        <v>0</v>
      </c>
      <c r="T64" s="7"/>
      <c r="U64" s="6">
        <f t="shared" si="5"/>
        <v>0</v>
      </c>
      <c r="V64" s="6">
        <f t="shared" si="7"/>
        <v>0.36179252705750709</v>
      </c>
      <c r="W64" s="6">
        <f t="shared" si="20"/>
        <v>1</v>
      </c>
      <c r="X64" s="7">
        <f t="shared" si="21"/>
        <v>0.63820747294249291</v>
      </c>
      <c r="Y64" s="7">
        <f t="shared" si="22"/>
        <v>0</v>
      </c>
      <c r="Z64" s="6"/>
      <c r="AB64">
        <f t="shared" si="23"/>
        <v>2017</v>
      </c>
      <c r="AC64" s="1" t="b">
        <f t="shared" si="24"/>
        <v>0</v>
      </c>
      <c r="AE64" s="1" t="b">
        <f t="shared" si="35"/>
        <v>0</v>
      </c>
      <c r="AF64" s="1" t="b">
        <f t="shared" si="36"/>
        <v>0</v>
      </c>
      <c r="AH64" s="1" t="b">
        <f t="shared" si="31"/>
        <v>0</v>
      </c>
      <c r="AI64" s="1" t="b">
        <f t="shared" si="26"/>
        <v>0</v>
      </c>
      <c r="AJ64" s="1" t="b">
        <f t="shared" si="27"/>
        <v>1</v>
      </c>
      <c r="AL64">
        <f t="shared" si="28"/>
        <v>2017</v>
      </c>
      <c r="AM64" s="2">
        <f t="shared" si="37"/>
        <v>439802.80707924528</v>
      </c>
      <c r="AN64" s="2"/>
      <c r="AO64" s="2">
        <f t="shared" si="33"/>
        <v>0</v>
      </c>
      <c r="AP64" s="2">
        <f t="shared" si="33"/>
        <v>0</v>
      </c>
      <c r="AQ64" s="2"/>
      <c r="AR64" s="2">
        <f t="shared" si="38"/>
        <v>0</v>
      </c>
      <c r="AS64" s="2">
        <f t="shared" si="38"/>
        <v>293201.87138616358</v>
      </c>
      <c r="AT64" s="2">
        <f t="shared" si="29"/>
        <v>733004.67846540886</v>
      </c>
      <c r="AU64" s="2">
        <f t="shared" si="30"/>
        <v>0</v>
      </c>
    </row>
    <row r="65" spans="1:45" x14ac:dyDescent="0.25">
      <c r="A65" s="9" t="s">
        <v>79</v>
      </c>
      <c r="B65" s="10">
        <f>B64</f>
        <v>467809.06349843316</v>
      </c>
      <c r="C65" s="10"/>
      <c r="D65" s="10">
        <f>D64</f>
        <v>0</v>
      </c>
      <c r="E65" s="10">
        <f>E64</f>
        <v>0</v>
      </c>
      <c r="F65" s="10"/>
      <c r="G65" s="10">
        <f>G64</f>
        <v>0</v>
      </c>
      <c r="H65" s="10">
        <f>H64</f>
        <v>265195.6149669757</v>
      </c>
      <c r="I65" s="10">
        <f>SUM(B65:H65)</f>
        <v>733004.67846540886</v>
      </c>
      <c r="J65" s="10"/>
      <c r="K65" s="10"/>
      <c r="AM65" s="22" t="e">
        <f>#REF!/#REF!</f>
        <v>#REF!</v>
      </c>
      <c r="AO65" s="22"/>
      <c r="AP65" s="22"/>
      <c r="AR65" s="22"/>
      <c r="AS65" s="22" t="e">
        <f>#REF!/#REF!</f>
        <v>#REF!</v>
      </c>
    </row>
    <row r="66" spans="1:45" x14ac:dyDescent="0.25">
      <c r="A66" s="11" t="s">
        <v>80</v>
      </c>
      <c r="I66" s="6">
        <f>(I65-I39)/I39</f>
        <v>6.3300467846540887</v>
      </c>
      <c r="K66" s="6"/>
      <c r="R66" s="7"/>
      <c r="AO66" s="2"/>
    </row>
    <row r="67" spans="1:45" x14ac:dyDescent="0.25">
      <c r="A67" s="1" t="s">
        <v>81</v>
      </c>
      <c r="I67" s="29">
        <f>STDEV(L40:L64)</f>
        <v>0.10866184143479256</v>
      </c>
      <c r="K67" s="30"/>
    </row>
    <row r="68" spans="1:45" x14ac:dyDescent="0.25">
      <c r="A68" s="1" t="s">
        <v>82</v>
      </c>
      <c r="I68" s="13">
        <f>((1+I66)^(1/I73))-1</f>
        <v>8.293968715830502E-2</v>
      </c>
      <c r="K68" s="30"/>
    </row>
    <row r="69" spans="1:45" x14ac:dyDescent="0.25">
      <c r="A69" s="1" t="s">
        <v>83</v>
      </c>
      <c r="I69" s="31">
        <f>J60</f>
        <v>82740.042638727056</v>
      </c>
    </row>
    <row r="70" spans="1:45" x14ac:dyDescent="0.25">
      <c r="A70" s="1" t="s">
        <v>84</v>
      </c>
      <c r="I70" s="32">
        <f>K60</f>
        <v>0.18404000000000009</v>
      </c>
    </row>
    <row r="71" spans="1:45" x14ac:dyDescent="0.25">
      <c r="A71" s="3" t="s">
        <v>85</v>
      </c>
      <c r="I71" s="33">
        <f>I64-I65</f>
        <v>0</v>
      </c>
    </row>
    <row r="72" spans="1:45" x14ac:dyDescent="0.25">
      <c r="A72" s="3" t="s">
        <v>149</v>
      </c>
      <c r="I72" s="33">
        <f>((SUM(J40:J64))-(I65-I39))</f>
        <v>0</v>
      </c>
    </row>
    <row r="73" spans="1:45" x14ac:dyDescent="0.25">
      <c r="A73" s="3" t="s">
        <v>160</v>
      </c>
      <c r="I73" s="3">
        <f>COUNTA(I40:I64)</f>
        <v>25</v>
      </c>
    </row>
    <row r="74" spans="1:45" x14ac:dyDescent="0.25">
      <c r="A74" s="1" t="s">
        <v>106</v>
      </c>
      <c r="B74" s="63"/>
      <c r="C74" s="63"/>
      <c r="D74" s="63"/>
      <c r="E74" s="63"/>
      <c r="G74" s="63"/>
      <c r="H74" s="63"/>
      <c r="I74" s="86">
        <f>(SUM(B65:G65)/I65)</f>
        <v>0.63820747294249291</v>
      </c>
    </row>
    <row r="75" spans="1:45" x14ac:dyDescent="0.25">
      <c r="A75" s="1" t="s">
        <v>107</v>
      </c>
      <c r="B75" s="63"/>
      <c r="C75" s="63"/>
      <c r="D75" s="63"/>
      <c r="E75" s="63"/>
      <c r="G75" s="63"/>
      <c r="H75" s="63"/>
      <c r="I75" s="86">
        <f>(H65/I65)</f>
        <v>0.36179252705750709</v>
      </c>
    </row>
    <row r="76" spans="1:45" x14ac:dyDescent="0.25">
      <c r="A76" s="3" t="s">
        <v>108</v>
      </c>
      <c r="I76" s="3">
        <f>100%-(I74+I75)</f>
        <v>0</v>
      </c>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3D03-2ACB-46FA-A8F7-9F7E3A635FAB}">
  <dimension ref="A1:Y76"/>
  <sheetViews>
    <sheetView topLeftCell="A57" workbookViewId="0">
      <selection activeCell="A74" sqref="A74:I76"/>
    </sheetView>
  </sheetViews>
  <sheetFormatPr defaultColWidth="8.85546875" defaultRowHeight="15" x14ac:dyDescent="0.25"/>
  <cols>
    <col min="1" max="1" width="25.42578125" customWidth="1"/>
    <col min="2" max="2" width="11" customWidth="1"/>
    <col min="3"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8" x14ac:dyDescent="0.25">
      <c r="A1" s="20"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1993</v>
      </c>
      <c r="B4" s="17">
        <f>'Non-Rebalanced Portfolio'!B4</f>
        <v>9.89</v>
      </c>
      <c r="C4" s="17">
        <f>'Non-Rebalanced Portfolio'!C4</f>
        <v>14.49</v>
      </c>
      <c r="D4" s="17"/>
      <c r="E4" s="17"/>
      <c r="F4" s="17">
        <f>'Non-Rebalanced Portfolio'!F4</f>
        <v>30.494</v>
      </c>
      <c r="G4" s="17"/>
      <c r="H4" s="17">
        <f>'Non-Rebalanced Portfolio'!H4</f>
        <v>9.68</v>
      </c>
    </row>
    <row r="5" spans="1:8" x14ac:dyDescent="0.25">
      <c r="A5" s="17">
        <f>'Non-Rebalanced Portfolio'!A5</f>
        <v>1994</v>
      </c>
      <c r="B5" s="17">
        <f>'Non-Rebalanced Portfolio'!B5</f>
        <v>1.18</v>
      </c>
      <c r="C5" s="17">
        <f>'Non-Rebalanced Portfolio'!C5</f>
        <v>-1.764</v>
      </c>
      <c r="D5" s="17"/>
      <c r="E5" s="17"/>
      <c r="F5" s="17">
        <f>'Non-Rebalanced Portfolio'!F5</f>
        <v>5.2549999999999999</v>
      </c>
      <c r="G5" s="17"/>
      <c r="H5" s="17">
        <f>'Non-Rebalanced Portfolio'!H5</f>
        <v>-2.66</v>
      </c>
    </row>
    <row r="6" spans="1:8" x14ac:dyDescent="0.25">
      <c r="A6" s="17">
        <f>'Non-Rebalanced Portfolio'!A6</f>
        <v>1995</v>
      </c>
      <c r="B6" s="17">
        <f>'Non-Rebalanced Portfolio'!B6</f>
        <v>37.450000000000003</v>
      </c>
      <c r="C6" s="17">
        <f>'Non-Rebalanced Portfolio'!C6</f>
        <v>33.796999999999997</v>
      </c>
      <c r="D6" s="17"/>
      <c r="E6" s="17"/>
      <c r="F6" s="17">
        <f>'Non-Rebalanced Portfolio'!F6</f>
        <v>9.6460000000000008</v>
      </c>
      <c r="G6" s="17"/>
      <c r="H6" s="17">
        <f>'Non-Rebalanced Portfolio'!H6</f>
        <v>18.18</v>
      </c>
    </row>
    <row r="7" spans="1:8" x14ac:dyDescent="0.25">
      <c r="A7" s="17">
        <f>'Non-Rebalanced Portfolio'!A7</f>
        <v>1996</v>
      </c>
      <c r="B7" s="17">
        <f>'Non-Rebalanced Portfolio'!B7</f>
        <v>22.88</v>
      </c>
      <c r="C7" s="17">
        <f>'Non-Rebalanced Portfolio'!C7</f>
        <v>17.646999999999998</v>
      </c>
      <c r="D7" s="17"/>
      <c r="E7" s="17"/>
      <c r="F7" s="17">
        <f>'Non-Rebalanced Portfolio'!F7</f>
        <v>10.218999999999999</v>
      </c>
      <c r="G7" s="17"/>
      <c r="H7" s="17">
        <f>'Non-Rebalanced Portfolio'!H7</f>
        <v>3.58</v>
      </c>
    </row>
    <row r="8" spans="1:8" x14ac:dyDescent="0.25">
      <c r="A8" s="17">
        <f>'Non-Rebalanced Portfolio'!A8</f>
        <v>1997</v>
      </c>
      <c r="B8" s="17">
        <f>'Non-Rebalanced Portfolio'!B8</f>
        <v>33.19</v>
      </c>
      <c r="C8" s="17">
        <f>'Non-Rebalanced Portfolio'!C8</f>
        <v>26.687000000000001</v>
      </c>
      <c r="D8" s="17"/>
      <c r="E8" s="17"/>
      <c r="F8" s="17">
        <f>'Non-Rebalanced Portfolio'!F8</f>
        <v>0</v>
      </c>
      <c r="G8" s="17"/>
      <c r="H8" s="17">
        <f>'Non-Rebalanced Portfolio'!H8</f>
        <v>9.44</v>
      </c>
    </row>
    <row r="9" spans="1:8" x14ac:dyDescent="0.25">
      <c r="A9" s="17">
        <f>'Non-Rebalanced Portfolio'!A9</f>
        <v>1998</v>
      </c>
      <c r="B9" s="17">
        <f>'Non-Rebalanced Portfolio'!B9</f>
        <v>28.66</v>
      </c>
      <c r="C9" s="17">
        <f>'Non-Rebalanced Portfolio'!C9</f>
        <v>8.3529999999999998</v>
      </c>
      <c r="D9" s="17"/>
      <c r="E9" s="17"/>
      <c r="F9" s="17">
        <f>'Non-Rebalanced Portfolio'!F9</f>
        <v>0</v>
      </c>
      <c r="G9" s="17"/>
      <c r="H9" s="17">
        <f>'Non-Rebalanced Portfolio'!H9</f>
        <v>8.58</v>
      </c>
    </row>
    <row r="10" spans="1:8" x14ac:dyDescent="0.25">
      <c r="A10" s="17">
        <f>'Non-Rebalanced Portfolio'!A10</f>
        <v>1999</v>
      </c>
      <c r="B10" s="17">
        <f>'Non-Rebalanced Portfolio'!B10</f>
        <v>21.07</v>
      </c>
      <c r="C10" s="17">
        <f>'Non-Rebalanced Portfolio'!C10</f>
        <v>0</v>
      </c>
      <c r="D10" s="17">
        <f>'Non-Rebalanced Portfolio'!D10</f>
        <v>15.319000000000001</v>
      </c>
      <c r="E10" s="17">
        <f>'Non-Rebalanced Portfolio'!E10</f>
        <v>23.132999999999999</v>
      </c>
      <c r="F10" s="17">
        <f>'Non-Rebalanced Portfolio'!F10</f>
        <v>0</v>
      </c>
      <c r="G10" s="17"/>
      <c r="H10" s="17">
        <f>'Non-Rebalanced Portfolio'!H10</f>
        <v>-0.76</v>
      </c>
    </row>
    <row r="11" spans="1:8" x14ac:dyDescent="0.25">
      <c r="A11" s="17">
        <f>'Non-Rebalanced Portfolio'!A11</f>
        <v>2000</v>
      </c>
      <c r="B11" s="17">
        <f>'Non-Rebalanced Portfolio'!B11</f>
        <v>-9.06</v>
      </c>
      <c r="C11" s="17">
        <f>'Non-Rebalanced Portfolio'!C11</f>
        <v>0</v>
      </c>
      <c r="D11" s="17">
        <f>'Non-Rebalanced Portfolio'!D11</f>
        <v>18.097999999999999</v>
      </c>
      <c r="E11" s="17">
        <f>'Non-Rebalanced Portfolio'!E11</f>
        <v>-2.665</v>
      </c>
      <c r="F11" s="17">
        <f>'Non-Rebalanced Portfolio'!F11</f>
        <v>0</v>
      </c>
      <c r="G11" s="17"/>
      <c r="H11" s="17">
        <f>'Non-Rebalanced Portfolio'!H11</f>
        <v>11.39</v>
      </c>
    </row>
    <row r="12" spans="1:8" x14ac:dyDescent="0.25">
      <c r="A12" s="17">
        <f>'Non-Rebalanced Portfolio'!A12</f>
        <v>2001</v>
      </c>
      <c r="B12" s="17">
        <f>'Non-Rebalanced Portfolio'!B12</f>
        <v>-12.02</v>
      </c>
      <c r="C12" s="17">
        <f>'Non-Rebalanced Portfolio'!C12</f>
        <v>0</v>
      </c>
      <c r="D12" s="17">
        <f>'Non-Rebalanced Portfolio'!D12</f>
        <v>-0.499</v>
      </c>
      <c r="E12" s="17">
        <f>'Non-Rebalanced Portfolio'!E12</f>
        <v>3.1</v>
      </c>
      <c r="F12" s="17">
        <f>'Non-Rebalanced Portfolio'!F12</f>
        <v>0</v>
      </c>
      <c r="G12" s="18">
        <f>'Non-Rebalanced Portfolio'!G12</f>
        <v>-20.152999999999999</v>
      </c>
      <c r="H12" s="17">
        <f>'Non-Rebalanced Portfolio'!H12</f>
        <v>8.43</v>
      </c>
    </row>
    <row r="13" spans="1:8" x14ac:dyDescent="0.25">
      <c r="A13" s="17">
        <f>'Non-Rebalanced Portfolio'!A13</f>
        <v>2002</v>
      </c>
      <c r="B13" s="17">
        <f>'Non-Rebalanced Portfolio'!B13</f>
        <v>-22.15</v>
      </c>
      <c r="C13" s="17">
        <f>'Non-Rebalanced Portfolio'!C13</f>
        <v>0</v>
      </c>
      <c r="D13" s="18">
        <f>'Non-Rebalanced Portfolio'!D13</f>
        <v>-14.608000000000001</v>
      </c>
      <c r="E13" s="18">
        <f>'Non-Rebalanced Portfolio'!E13</f>
        <v>-20.021999999999998</v>
      </c>
      <c r="F13" s="17"/>
      <c r="G13" s="18">
        <f>'Non-Rebalanced Portfolio'!G13</f>
        <v>-15.083</v>
      </c>
      <c r="H13" s="17">
        <f>'Non-Rebalanced Portfolio'!H13</f>
        <v>8.26</v>
      </c>
    </row>
    <row r="14" spans="1:8" x14ac:dyDescent="0.25">
      <c r="A14" s="17">
        <f>'Non-Rebalanced Portfolio'!A14</f>
        <v>2003</v>
      </c>
      <c r="B14" s="17">
        <f>'Non-Rebalanced Portfolio'!B14</f>
        <v>28.5</v>
      </c>
      <c r="C14" s="17">
        <f>'Non-Rebalanced Portfolio'!C14</f>
        <v>0</v>
      </c>
      <c r="D14" s="17">
        <f>'Non-Rebalanced Portfolio'!D14</f>
        <v>34.142000000000003</v>
      </c>
      <c r="E14" s="17">
        <f>'Non-Rebalanced Portfolio'!E14</f>
        <v>45.628</v>
      </c>
      <c r="F14" s="17"/>
      <c r="G14" s="17">
        <f>'Non-Rebalanced Portfolio'!G14</f>
        <v>40.340000000000003</v>
      </c>
      <c r="H14" s="17">
        <f>'Non-Rebalanced Portfolio'!H14</f>
        <v>3.97</v>
      </c>
    </row>
    <row r="15" spans="1:8" x14ac:dyDescent="0.25">
      <c r="A15" s="17">
        <f>'Non-Rebalanced Portfolio'!A15</f>
        <v>2004</v>
      </c>
      <c r="B15" s="17">
        <f>'Non-Rebalanced Portfolio'!B15</f>
        <v>10.74</v>
      </c>
      <c r="C15" s="17"/>
      <c r="D15" s="17">
        <f>'Non-Rebalanced Portfolio'!D15</f>
        <v>20.353000000000002</v>
      </c>
      <c r="E15" s="17">
        <f>'Non-Rebalanced Portfolio'!E15</f>
        <v>19.896999999999998</v>
      </c>
      <c r="F15" s="17"/>
      <c r="G15" s="17">
        <f>'Non-Rebalanced Portfolio'!G15</f>
        <v>20.837</v>
      </c>
      <c r="H15" s="17">
        <f>'Non-Rebalanced Portfolio'!H15</f>
        <v>4.24</v>
      </c>
    </row>
    <row r="16" spans="1:8" x14ac:dyDescent="0.25">
      <c r="A16" s="17">
        <f>'Non-Rebalanced Portfolio'!A16</f>
        <v>2005</v>
      </c>
      <c r="B16" s="17">
        <f>'Non-Rebalanced Portfolio'!B16</f>
        <v>4.7699999999999996</v>
      </c>
      <c r="C16" s="17"/>
      <c r="D16" s="17">
        <f>'Non-Rebalanced Portfolio'!D16</f>
        <v>13.930999999999999</v>
      </c>
      <c r="E16" s="17">
        <f>'Non-Rebalanced Portfolio'!E16</f>
        <v>7.3630000000000004</v>
      </c>
      <c r="F16" s="17"/>
      <c r="G16" s="17">
        <f>'Non-Rebalanced Portfolio'!G16</f>
        <v>15.571</v>
      </c>
      <c r="H16" s="17">
        <f>'Non-Rebalanced Portfolio'!H16</f>
        <v>2.4</v>
      </c>
    </row>
    <row r="17" spans="1:8" x14ac:dyDescent="0.25">
      <c r="A17" s="17">
        <f>'Non-Rebalanced Portfolio'!A17</f>
        <v>2006</v>
      </c>
      <c r="B17" s="17">
        <f>'Non-Rebalanced Portfolio'!B17</f>
        <v>15.64</v>
      </c>
      <c r="C17" s="17"/>
      <c r="D17" s="17">
        <f>'Non-Rebalanced Portfolio'!D17</f>
        <v>13.597</v>
      </c>
      <c r="E17" s="17">
        <f>'Non-Rebalanced Portfolio'!E17</f>
        <v>15.656000000000001</v>
      </c>
      <c r="F17" s="17"/>
      <c r="G17" s="17">
        <f>'Non-Rebalanced Portfolio'!G17</f>
        <v>26.637</v>
      </c>
      <c r="H17" s="17">
        <f>'Non-Rebalanced Portfolio'!H17</f>
        <v>4.2699999999999996</v>
      </c>
    </row>
    <row r="18" spans="1:8" x14ac:dyDescent="0.25">
      <c r="A18" s="17">
        <f>'Non-Rebalanced Portfolio'!A18</f>
        <v>2007</v>
      </c>
      <c r="B18" s="17">
        <f>'Non-Rebalanced Portfolio'!B18</f>
        <v>5.39</v>
      </c>
      <c r="C18" s="17"/>
      <c r="D18" s="17">
        <f>'Non-Rebalanced Portfolio'!D18</f>
        <v>6.0209999999999999</v>
      </c>
      <c r="E18" s="17">
        <f>'Non-Rebalanced Portfolio'!E18</f>
        <v>1.1559999999999999</v>
      </c>
      <c r="F18" s="17"/>
      <c r="G18" s="17">
        <f>'Non-Rebalanced Portfolio'!G18</f>
        <v>15.522</v>
      </c>
      <c r="H18" s="17">
        <f>'Non-Rebalanced Portfolio'!H18</f>
        <v>6.92</v>
      </c>
    </row>
    <row r="19" spans="1:8" x14ac:dyDescent="0.25">
      <c r="A19" s="17">
        <f>'Non-Rebalanced Portfolio'!A19</f>
        <v>2008</v>
      </c>
      <c r="B19" s="17">
        <f>'Non-Rebalanced Portfolio'!B19</f>
        <v>-37.020000000000003</v>
      </c>
      <c r="C19" s="17"/>
      <c r="D19" s="17">
        <f>'Non-Rebalanced Portfolio'!D19</f>
        <v>-41.823999999999998</v>
      </c>
      <c r="E19" s="17">
        <f>'Non-Rebalanced Portfolio'!E19</f>
        <v>-36.07</v>
      </c>
      <c r="F19" s="17"/>
      <c r="G19" s="17">
        <f>'Non-Rebalanced Portfolio'!G19</f>
        <v>-44.100999999999999</v>
      </c>
      <c r="H19" s="17">
        <f>'Non-Rebalanced Portfolio'!H19</f>
        <v>5.05</v>
      </c>
    </row>
    <row r="20" spans="1:8" x14ac:dyDescent="0.25">
      <c r="A20" s="17">
        <f>'Non-Rebalanced Portfolio'!A20</f>
        <v>2009</v>
      </c>
      <c r="B20" s="17">
        <f>'Non-Rebalanced Portfolio'!B20</f>
        <v>26.49</v>
      </c>
      <c r="C20" s="17"/>
      <c r="D20" s="17">
        <f>'Non-Rebalanced Portfolio'!D20</f>
        <v>40.218000000000004</v>
      </c>
      <c r="E20" s="17">
        <f>'Non-Rebalanced Portfolio'!E20</f>
        <v>36.118000000000002</v>
      </c>
      <c r="F20" s="17"/>
      <c r="G20" s="17">
        <f>'Non-Rebalanced Portfolio'!G20</f>
        <v>36.726999999999997</v>
      </c>
      <c r="H20" s="17">
        <f>'Non-Rebalanced Portfolio'!H20</f>
        <v>5.93</v>
      </c>
    </row>
    <row r="21" spans="1:8" x14ac:dyDescent="0.25">
      <c r="A21" s="17">
        <f>'Non-Rebalanced Portfolio'!A21</f>
        <v>2010</v>
      </c>
      <c r="B21" s="17">
        <f>'Non-Rebalanced Portfolio'!B21</f>
        <v>14.91</v>
      </c>
      <c r="C21" s="17"/>
      <c r="D21" s="17">
        <f>'Non-Rebalanced Portfolio'!D21</f>
        <v>25.46</v>
      </c>
      <c r="E21" s="17">
        <f>'Non-Rebalanced Portfolio'!E21</f>
        <v>27.72</v>
      </c>
      <c r="F21" s="17"/>
      <c r="G21" s="17">
        <f>'Non-Rebalanced Portfolio'!G21</f>
        <v>11.12</v>
      </c>
      <c r="H21" s="17">
        <f>'Non-Rebalanced Portfolio'!H21</f>
        <v>6.42</v>
      </c>
    </row>
    <row r="22" spans="1:8" x14ac:dyDescent="0.25">
      <c r="A22" s="17">
        <f>'Non-Rebalanced Portfolio'!A22</f>
        <v>2011</v>
      </c>
      <c r="B22" s="17">
        <f>'Non-Rebalanced Portfolio'!B22</f>
        <v>1.97</v>
      </c>
      <c r="C22" s="17"/>
      <c r="D22" s="17">
        <f>'Non-Rebalanced Portfolio'!D22</f>
        <v>-2.11</v>
      </c>
      <c r="E22" s="17">
        <f>'Non-Rebalanced Portfolio'!E22</f>
        <v>-2.8</v>
      </c>
      <c r="F22" s="17"/>
      <c r="G22" s="17">
        <f>'Non-Rebalanced Portfolio'!G22</f>
        <v>-14.56</v>
      </c>
      <c r="H22" s="17">
        <f>'Non-Rebalanced Portfolio'!H22</f>
        <v>7.56</v>
      </c>
    </row>
    <row r="23" spans="1:8" x14ac:dyDescent="0.25">
      <c r="A23" s="17">
        <f>'Non-Rebalanced Portfolio'!A23</f>
        <v>2012</v>
      </c>
      <c r="B23" s="17">
        <f>'Non-Rebalanced Portfolio'!B23</f>
        <v>15.82</v>
      </c>
      <c r="C23" s="17"/>
      <c r="D23" s="17">
        <f>'Non-Rebalanced Portfolio'!D23</f>
        <v>15.8</v>
      </c>
      <c r="E23" s="17">
        <f>'Non-Rebalanced Portfolio'!E23</f>
        <v>18.04</v>
      </c>
      <c r="F23" s="17"/>
      <c r="G23" s="17">
        <f>'Non-Rebalanced Portfolio'!G23</f>
        <v>18.14</v>
      </c>
      <c r="H23" s="17">
        <f>'Non-Rebalanced Portfolio'!H23</f>
        <v>4.05</v>
      </c>
    </row>
    <row r="24" spans="1:8" x14ac:dyDescent="0.25">
      <c r="A24" s="17">
        <f>'Non-Rebalanced Portfolio'!A24</f>
        <v>2013</v>
      </c>
      <c r="B24" s="17">
        <f>'Non-Rebalanced Portfolio'!B24</f>
        <v>32.18</v>
      </c>
      <c r="C24" s="17"/>
      <c r="D24" s="17">
        <f>'Non-Rebalanced Portfolio'!D24</f>
        <v>35</v>
      </c>
      <c r="E24" s="17">
        <f>'Non-Rebalanced Portfolio'!E24</f>
        <v>37.619999999999997</v>
      </c>
      <c r="F24" s="17"/>
      <c r="G24" s="17">
        <f>'Non-Rebalanced Portfolio'!G24</f>
        <v>15.04</v>
      </c>
      <c r="H24" s="17">
        <f>'Non-Rebalanced Portfolio'!H24</f>
        <v>-2.2599999999999998</v>
      </c>
    </row>
    <row r="25" spans="1:8" x14ac:dyDescent="0.25">
      <c r="A25" s="17">
        <f>'Non-Rebalanced Portfolio'!A25</f>
        <v>2014</v>
      </c>
      <c r="B25" s="17">
        <f>'Non-Rebalanced Portfolio'!B25</f>
        <v>13.51</v>
      </c>
      <c r="C25" s="17"/>
      <c r="D25" s="17">
        <f>'Non-Rebalanced Portfolio'!D25</f>
        <v>13.6</v>
      </c>
      <c r="E25" s="17">
        <f>'Non-Rebalanced Portfolio'!E25</f>
        <v>7.37</v>
      </c>
      <c r="F25" s="17"/>
      <c r="G25" s="17">
        <f>'Non-Rebalanced Portfolio'!G25</f>
        <v>-4.24</v>
      </c>
      <c r="H25" s="17">
        <f>'Non-Rebalanced Portfolio'!H25</f>
        <v>5.76</v>
      </c>
    </row>
    <row r="26" spans="1:8" x14ac:dyDescent="0.25">
      <c r="A26" s="17">
        <f>'Non-Rebalanced Portfolio'!A26</f>
        <v>2015</v>
      </c>
      <c r="B26" s="17">
        <f>'Non-Rebalanced Portfolio'!B26</f>
        <v>1.25</v>
      </c>
      <c r="C26" s="17"/>
      <c r="D26" s="17">
        <f>'Non-Rebalanced Portfolio'!D26</f>
        <v>-1.46</v>
      </c>
      <c r="E26" s="17">
        <f>'Non-Rebalanced Portfolio'!E26</f>
        <v>-3.78</v>
      </c>
      <c r="F26" s="17"/>
      <c r="G26" s="17">
        <f>'Non-Rebalanced Portfolio'!G26</f>
        <v>-4.37</v>
      </c>
      <c r="H26" s="17">
        <f>'Non-Rebalanced Portfolio'!H26</f>
        <v>0.3</v>
      </c>
    </row>
    <row r="27" spans="1:8" x14ac:dyDescent="0.25">
      <c r="A27" s="17">
        <f>'Non-Rebalanced Portfolio'!A27</f>
        <v>2016</v>
      </c>
      <c r="B27" s="17">
        <f>'Non-Rebalanced Portfolio'!B27</f>
        <v>11.82</v>
      </c>
      <c r="C27" s="17"/>
      <c r="D27" s="17">
        <f>'Non-Rebalanced Portfolio'!D27</f>
        <v>11.07</v>
      </c>
      <c r="E27" s="17">
        <f>'Non-Rebalanced Portfolio'!E27</f>
        <v>18.170000000000002</v>
      </c>
      <c r="F27" s="17"/>
      <c r="G27" s="17">
        <f>'Non-Rebalanced Portfolio'!G27</f>
        <v>4.6500000000000004</v>
      </c>
      <c r="H27" s="17">
        <f>'Non-Rebalanced Portfolio'!H27</f>
        <v>2.5</v>
      </c>
    </row>
    <row r="28" spans="1:8" x14ac:dyDescent="0.25">
      <c r="A28" s="17">
        <f>'Non-Rebalanced Portfolio'!A28</f>
        <v>2017</v>
      </c>
      <c r="B28" s="17">
        <f>'Non-Rebalanced Portfolio'!B28</f>
        <v>21.67</v>
      </c>
      <c r="C28" s="19"/>
      <c r="D28" s="17">
        <f>'Non-Rebalanced Portfolio'!D28</f>
        <v>19.600000000000001</v>
      </c>
      <c r="E28" s="17">
        <f>'Non-Rebalanced Portfolio'!E28</f>
        <v>16.100000000000001</v>
      </c>
      <c r="F28" s="19"/>
      <c r="G28" s="17">
        <f>'Non-Rebalanced Portfolio'!G28</f>
        <v>27.4</v>
      </c>
      <c r="H28" s="17">
        <f>'Non-Rebalanced Portfolio'!H28</f>
        <v>3.46</v>
      </c>
    </row>
    <row r="29" spans="1:8"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25"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25" x14ac:dyDescent="0.25">
      <c r="A36" s="20" t="s">
        <v>124</v>
      </c>
      <c r="O36" s="20" t="s">
        <v>131</v>
      </c>
    </row>
    <row r="37" spans="1:2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row>
    <row r="38" spans="1:25"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row>
    <row r="39" spans="1:25" x14ac:dyDescent="0.25">
      <c r="A39" t="s">
        <v>72</v>
      </c>
      <c r="B39" s="31">
        <v>100000</v>
      </c>
      <c r="C39" s="31">
        <v>0</v>
      </c>
      <c r="F39" s="31">
        <v>0</v>
      </c>
      <c r="H39" s="31">
        <v>0</v>
      </c>
      <c r="I39" s="2">
        <f>SUM(B39:H39)</f>
        <v>100000</v>
      </c>
      <c r="O39" s="21" t="s">
        <v>87</v>
      </c>
      <c r="P39" s="22">
        <f>B39/$I39</f>
        <v>1</v>
      </c>
      <c r="Q39" s="22">
        <f>C39/$I39</f>
        <v>0</v>
      </c>
      <c r="R39" s="23">
        <v>0</v>
      </c>
      <c r="S39" s="23">
        <v>0</v>
      </c>
      <c r="T39" s="22">
        <f>F39/$I39</f>
        <v>0</v>
      </c>
      <c r="U39" s="23">
        <v>0</v>
      </c>
      <c r="V39" s="22">
        <f>H39/$I39</f>
        <v>0</v>
      </c>
      <c r="W39" s="6">
        <f>I39/$I39</f>
        <v>1</v>
      </c>
      <c r="X39" s="24"/>
    </row>
    <row r="40" spans="1:25" x14ac:dyDescent="0.25">
      <c r="A40">
        <f t="shared" ref="A40:A64" si="2">A4</f>
        <v>1993</v>
      </c>
      <c r="B40" s="2">
        <f t="shared" ref="B40:C55" si="3">B39*(1+(B4/100))</f>
        <v>109890</v>
      </c>
      <c r="C40" s="2">
        <f t="shared" si="3"/>
        <v>0</v>
      </c>
      <c r="D40" s="2"/>
      <c r="E40" s="2"/>
      <c r="F40" s="2">
        <f t="shared" ref="F40:F48" si="4">F39*(1+(F4/100))</f>
        <v>0</v>
      </c>
      <c r="G40" s="2"/>
      <c r="H40" s="2">
        <f t="shared" ref="H40:H64" si="5">H39*(1+(H4/100))</f>
        <v>0</v>
      </c>
      <c r="I40" s="2">
        <f>SUM(B40:H40)</f>
        <v>109890</v>
      </c>
      <c r="J40" s="2">
        <f>I40-I39</f>
        <v>9890</v>
      </c>
      <c r="K40" s="6">
        <f>(J40/I39)</f>
        <v>9.8900000000000002E-2</v>
      </c>
      <c r="L40" s="7">
        <f>K40+1</f>
        <v>1.0989</v>
      </c>
      <c r="O40">
        <f>A40</f>
        <v>1993</v>
      </c>
      <c r="P40" s="6">
        <f t="shared" ref="P40:U64" si="6">B40/$I40</f>
        <v>1</v>
      </c>
      <c r="Q40" s="6">
        <f t="shared" si="6"/>
        <v>0</v>
      </c>
      <c r="R40" s="7"/>
      <c r="S40" s="7"/>
      <c r="T40" s="6">
        <f t="shared" ref="T40:T48" si="7">F40/$I40</f>
        <v>0</v>
      </c>
      <c r="U40" s="7"/>
      <c r="V40" s="6">
        <f t="shared" ref="V40:V64" si="8">H40/$I40</f>
        <v>0</v>
      </c>
      <c r="W40" s="6">
        <f>SUM(P40:V40)</f>
        <v>1</v>
      </c>
      <c r="X40" s="7">
        <f>SUM(P40:U40)</f>
        <v>1</v>
      </c>
      <c r="Y40" s="7">
        <f>W40-(X40+V40)</f>
        <v>0</v>
      </c>
    </row>
    <row r="41" spans="1:25" x14ac:dyDescent="0.25">
      <c r="A41">
        <f t="shared" si="2"/>
        <v>1994</v>
      </c>
      <c r="B41" s="2">
        <f t="shared" si="3"/>
        <v>111186.702</v>
      </c>
      <c r="C41" s="2">
        <f t="shared" si="3"/>
        <v>0</v>
      </c>
      <c r="D41" s="2"/>
      <c r="E41" s="2"/>
      <c r="F41" s="2">
        <f t="shared" si="4"/>
        <v>0</v>
      </c>
      <c r="G41" s="2"/>
      <c r="H41" s="2">
        <f t="shared" si="5"/>
        <v>0</v>
      </c>
      <c r="I41" s="2">
        <f t="shared" ref="I41:I48" si="9">SUM(B41:H41)</f>
        <v>111186.702</v>
      </c>
      <c r="J41" s="2">
        <f t="shared" ref="J41:J64" si="10">I41-I40</f>
        <v>1296.7020000000048</v>
      </c>
      <c r="K41" s="6">
        <f t="shared" ref="K41:K64" si="11">(J41/I40)</f>
        <v>1.1800000000000043E-2</v>
      </c>
      <c r="L41" s="7">
        <f t="shared" ref="L41:L64" si="12">K41+1</f>
        <v>1.0118</v>
      </c>
      <c r="O41">
        <f t="shared" ref="O41:O64" si="13">A41</f>
        <v>1994</v>
      </c>
      <c r="P41" s="6">
        <f t="shared" si="6"/>
        <v>1</v>
      </c>
      <c r="Q41" s="6">
        <f t="shared" si="6"/>
        <v>0</v>
      </c>
      <c r="R41" s="7"/>
      <c r="S41" s="7"/>
      <c r="T41" s="6">
        <f t="shared" si="7"/>
        <v>0</v>
      </c>
      <c r="U41" s="7"/>
      <c r="V41" s="6">
        <f t="shared" si="8"/>
        <v>0</v>
      </c>
      <c r="W41" s="6">
        <f t="shared" ref="W41:W64" si="14">SUM(P41:V41)</f>
        <v>1</v>
      </c>
      <c r="X41" s="7">
        <f t="shared" ref="X41:X64" si="15">SUM(P41:U41)</f>
        <v>1</v>
      </c>
      <c r="Y41" s="7">
        <f t="shared" ref="Y41:Y64" si="16">W41-(X41+V41)</f>
        <v>0</v>
      </c>
    </row>
    <row r="42" spans="1:25" x14ac:dyDescent="0.25">
      <c r="A42">
        <f t="shared" si="2"/>
        <v>1995</v>
      </c>
      <c r="B42" s="2">
        <f t="shared" si="3"/>
        <v>152826.12189900002</v>
      </c>
      <c r="C42" s="2">
        <f t="shared" si="3"/>
        <v>0</v>
      </c>
      <c r="D42" s="2"/>
      <c r="E42" s="2"/>
      <c r="F42" s="2">
        <f t="shared" si="4"/>
        <v>0</v>
      </c>
      <c r="G42" s="2"/>
      <c r="H42" s="2">
        <f t="shared" si="5"/>
        <v>0</v>
      </c>
      <c r="I42" s="2">
        <f t="shared" si="9"/>
        <v>152826.12189900002</v>
      </c>
      <c r="J42" s="2">
        <f t="shared" si="10"/>
        <v>41639.419899000015</v>
      </c>
      <c r="K42" s="6">
        <f t="shared" si="11"/>
        <v>0.37450000000000011</v>
      </c>
      <c r="L42" s="7">
        <f t="shared" si="12"/>
        <v>1.3745000000000001</v>
      </c>
      <c r="O42">
        <f t="shared" si="13"/>
        <v>1995</v>
      </c>
      <c r="P42" s="6">
        <f t="shared" si="6"/>
        <v>1</v>
      </c>
      <c r="Q42" s="6">
        <f t="shared" si="6"/>
        <v>0</v>
      </c>
      <c r="R42" s="7"/>
      <c r="S42" s="7"/>
      <c r="T42" s="6">
        <f t="shared" si="7"/>
        <v>0</v>
      </c>
      <c r="U42" s="7"/>
      <c r="V42" s="6">
        <f t="shared" si="8"/>
        <v>0</v>
      </c>
      <c r="W42" s="6">
        <f t="shared" si="14"/>
        <v>1</v>
      </c>
      <c r="X42" s="7">
        <f t="shared" si="15"/>
        <v>1</v>
      </c>
      <c r="Y42" s="7">
        <f t="shared" si="16"/>
        <v>0</v>
      </c>
    </row>
    <row r="43" spans="1:25" x14ac:dyDescent="0.25">
      <c r="A43">
        <f t="shared" si="2"/>
        <v>1996</v>
      </c>
      <c r="B43" s="2">
        <f t="shared" si="3"/>
        <v>187792.73858949123</v>
      </c>
      <c r="C43" s="2">
        <f t="shared" si="3"/>
        <v>0</v>
      </c>
      <c r="D43" s="2"/>
      <c r="E43" s="2"/>
      <c r="F43" s="2">
        <f t="shared" si="4"/>
        <v>0</v>
      </c>
      <c r="G43" s="2"/>
      <c r="H43" s="2">
        <f t="shared" si="5"/>
        <v>0</v>
      </c>
      <c r="I43" s="2">
        <f t="shared" si="9"/>
        <v>187792.73858949123</v>
      </c>
      <c r="J43" s="2">
        <f t="shared" si="10"/>
        <v>34966.61669049121</v>
      </c>
      <c r="K43" s="6">
        <f t="shared" si="11"/>
        <v>0.22880000000000003</v>
      </c>
      <c r="L43" s="7">
        <f t="shared" si="12"/>
        <v>1.2288000000000001</v>
      </c>
      <c r="O43">
        <f t="shared" si="13"/>
        <v>1996</v>
      </c>
      <c r="P43" s="6">
        <f t="shared" si="6"/>
        <v>1</v>
      </c>
      <c r="Q43" s="6">
        <f t="shared" si="6"/>
        <v>0</v>
      </c>
      <c r="R43" s="7"/>
      <c r="S43" s="7"/>
      <c r="T43" s="6">
        <f t="shared" si="7"/>
        <v>0</v>
      </c>
      <c r="U43" s="7"/>
      <c r="V43" s="6">
        <f t="shared" si="8"/>
        <v>0</v>
      </c>
      <c r="W43" s="6">
        <f t="shared" si="14"/>
        <v>1</v>
      </c>
      <c r="X43" s="7">
        <f t="shared" si="15"/>
        <v>1</v>
      </c>
      <c r="Y43" s="7">
        <f t="shared" si="16"/>
        <v>0</v>
      </c>
    </row>
    <row r="44" spans="1:25" x14ac:dyDescent="0.25">
      <c r="A44">
        <f t="shared" si="2"/>
        <v>1997</v>
      </c>
      <c r="B44" s="2">
        <f t="shared" si="3"/>
        <v>250121.14852734338</v>
      </c>
      <c r="C44" s="2">
        <f t="shared" si="3"/>
        <v>0</v>
      </c>
      <c r="D44" s="2"/>
      <c r="E44" s="2"/>
      <c r="F44" s="2">
        <f t="shared" si="4"/>
        <v>0</v>
      </c>
      <c r="G44" s="2"/>
      <c r="H44" s="2">
        <f t="shared" si="5"/>
        <v>0</v>
      </c>
      <c r="I44" s="2">
        <f t="shared" si="9"/>
        <v>250121.14852734338</v>
      </c>
      <c r="J44" s="2">
        <f t="shared" si="10"/>
        <v>62328.40993785215</v>
      </c>
      <c r="K44" s="6">
        <f t="shared" si="11"/>
        <v>0.33190000000000003</v>
      </c>
      <c r="L44" s="7">
        <f t="shared" si="12"/>
        <v>1.3319000000000001</v>
      </c>
      <c r="O44">
        <f t="shared" si="13"/>
        <v>1997</v>
      </c>
      <c r="P44" s="6">
        <f t="shared" si="6"/>
        <v>1</v>
      </c>
      <c r="Q44" s="6">
        <f t="shared" si="6"/>
        <v>0</v>
      </c>
      <c r="R44" s="7"/>
      <c r="S44" s="7"/>
      <c r="T44" s="6">
        <f t="shared" si="7"/>
        <v>0</v>
      </c>
      <c r="U44" s="7"/>
      <c r="V44" s="6">
        <f t="shared" si="8"/>
        <v>0</v>
      </c>
      <c r="W44" s="6">
        <f t="shared" si="14"/>
        <v>1</v>
      </c>
      <c r="X44" s="7">
        <f t="shared" si="15"/>
        <v>1</v>
      </c>
      <c r="Y44" s="7">
        <f t="shared" si="16"/>
        <v>0</v>
      </c>
    </row>
    <row r="45" spans="1:25" x14ac:dyDescent="0.25">
      <c r="A45">
        <f t="shared" si="2"/>
        <v>1998</v>
      </c>
      <c r="B45" s="2">
        <f t="shared" si="3"/>
        <v>321805.86969527998</v>
      </c>
      <c r="C45" s="2">
        <f t="shared" si="3"/>
        <v>0</v>
      </c>
      <c r="D45" s="2"/>
      <c r="E45" s="2"/>
      <c r="F45" s="2">
        <f t="shared" si="4"/>
        <v>0</v>
      </c>
      <c r="G45" s="2"/>
      <c r="H45" s="2">
        <f t="shared" si="5"/>
        <v>0</v>
      </c>
      <c r="I45" s="2">
        <f t="shared" si="9"/>
        <v>321805.86969527998</v>
      </c>
      <c r="J45" s="2">
        <f t="shared" si="10"/>
        <v>71684.721167936601</v>
      </c>
      <c r="K45" s="6">
        <f t="shared" si="11"/>
        <v>0.28659999999999997</v>
      </c>
      <c r="L45" s="7">
        <f t="shared" si="12"/>
        <v>1.2866</v>
      </c>
      <c r="O45">
        <f t="shared" si="13"/>
        <v>1998</v>
      </c>
      <c r="P45" s="6">
        <f t="shared" si="6"/>
        <v>1</v>
      </c>
      <c r="Q45" s="6">
        <f t="shared" si="6"/>
        <v>0</v>
      </c>
      <c r="R45" s="7"/>
      <c r="S45" s="7"/>
      <c r="T45" s="6">
        <f t="shared" si="7"/>
        <v>0</v>
      </c>
      <c r="U45" s="7"/>
      <c r="V45" s="6">
        <f t="shared" si="8"/>
        <v>0</v>
      </c>
      <c r="W45" s="6">
        <f t="shared" si="14"/>
        <v>1</v>
      </c>
      <c r="X45" s="7">
        <f t="shared" si="15"/>
        <v>1</v>
      </c>
      <c r="Y45" s="7">
        <f t="shared" si="16"/>
        <v>0</v>
      </c>
    </row>
    <row r="46" spans="1:25" x14ac:dyDescent="0.25">
      <c r="A46">
        <f t="shared" si="2"/>
        <v>1999</v>
      </c>
      <c r="B46" s="2">
        <f t="shared" si="3"/>
        <v>389610.36644007551</v>
      </c>
      <c r="C46" s="2">
        <f t="shared" si="3"/>
        <v>0</v>
      </c>
      <c r="D46" s="2"/>
      <c r="E46" s="2"/>
      <c r="F46" s="2">
        <f t="shared" si="4"/>
        <v>0</v>
      </c>
      <c r="G46" s="2"/>
      <c r="H46" s="2">
        <f t="shared" si="5"/>
        <v>0</v>
      </c>
      <c r="I46" s="2">
        <f t="shared" si="9"/>
        <v>389610.36644007551</v>
      </c>
      <c r="J46" s="2">
        <f t="shared" si="10"/>
        <v>67804.496744795528</v>
      </c>
      <c r="K46" s="6">
        <f t="shared" si="11"/>
        <v>0.21070000000000011</v>
      </c>
      <c r="L46" s="7">
        <f t="shared" si="12"/>
        <v>1.2107000000000001</v>
      </c>
      <c r="O46">
        <f t="shared" si="13"/>
        <v>1999</v>
      </c>
      <c r="P46" s="6">
        <f t="shared" si="6"/>
        <v>1</v>
      </c>
      <c r="Q46" s="6">
        <f t="shared" si="6"/>
        <v>0</v>
      </c>
      <c r="R46" s="7"/>
      <c r="S46" s="7"/>
      <c r="T46" s="6">
        <f t="shared" si="7"/>
        <v>0</v>
      </c>
      <c r="U46" s="7"/>
      <c r="V46" s="6">
        <f t="shared" si="8"/>
        <v>0</v>
      </c>
      <c r="W46" s="6">
        <f t="shared" si="14"/>
        <v>1</v>
      </c>
      <c r="X46" s="7">
        <f t="shared" si="15"/>
        <v>1</v>
      </c>
      <c r="Y46" s="7">
        <f t="shared" si="16"/>
        <v>0</v>
      </c>
    </row>
    <row r="47" spans="1:25" x14ac:dyDescent="0.25">
      <c r="A47">
        <f t="shared" si="2"/>
        <v>2000</v>
      </c>
      <c r="B47" s="2">
        <f t="shared" si="3"/>
        <v>354311.66724060464</v>
      </c>
      <c r="C47" s="2">
        <f t="shared" si="3"/>
        <v>0</v>
      </c>
      <c r="D47" s="2"/>
      <c r="E47" s="2"/>
      <c r="F47" s="2">
        <f t="shared" si="4"/>
        <v>0</v>
      </c>
      <c r="G47" s="2"/>
      <c r="H47" s="2">
        <f t="shared" si="5"/>
        <v>0</v>
      </c>
      <c r="I47" s="2">
        <f t="shared" si="9"/>
        <v>354311.66724060464</v>
      </c>
      <c r="J47" s="2">
        <f t="shared" si="10"/>
        <v>-35298.699199470866</v>
      </c>
      <c r="K47" s="6">
        <f t="shared" si="11"/>
        <v>-9.0600000000000069E-2</v>
      </c>
      <c r="L47" s="7">
        <f t="shared" si="12"/>
        <v>0.90939999999999999</v>
      </c>
      <c r="O47">
        <f t="shared" si="13"/>
        <v>2000</v>
      </c>
      <c r="P47" s="6">
        <f t="shared" si="6"/>
        <v>1</v>
      </c>
      <c r="Q47" s="6">
        <f t="shared" si="6"/>
        <v>0</v>
      </c>
      <c r="R47" s="7"/>
      <c r="S47" s="7"/>
      <c r="T47" s="6">
        <f t="shared" si="7"/>
        <v>0</v>
      </c>
      <c r="U47" s="7"/>
      <c r="V47" s="6">
        <f t="shared" si="8"/>
        <v>0</v>
      </c>
      <c r="W47" s="6">
        <f t="shared" si="14"/>
        <v>1</v>
      </c>
      <c r="X47" s="7">
        <f t="shared" si="15"/>
        <v>1</v>
      </c>
      <c r="Y47" s="7">
        <f t="shared" si="16"/>
        <v>0</v>
      </c>
    </row>
    <row r="48" spans="1:25" x14ac:dyDescent="0.25">
      <c r="A48">
        <f t="shared" si="2"/>
        <v>2001</v>
      </c>
      <c r="B48" s="2">
        <f t="shared" si="3"/>
        <v>311723.40483828395</v>
      </c>
      <c r="C48" s="2">
        <f t="shared" si="3"/>
        <v>0</v>
      </c>
      <c r="D48" s="2"/>
      <c r="E48" s="2"/>
      <c r="F48" s="2">
        <f t="shared" si="4"/>
        <v>0</v>
      </c>
      <c r="G48" s="2"/>
      <c r="H48" s="2">
        <f t="shared" si="5"/>
        <v>0</v>
      </c>
      <c r="I48" s="2">
        <f t="shared" si="9"/>
        <v>311723.40483828395</v>
      </c>
      <c r="J48" s="2">
        <f t="shared" si="10"/>
        <v>-42588.262402320688</v>
      </c>
      <c r="K48" s="6">
        <f t="shared" si="11"/>
        <v>-0.12020000000000003</v>
      </c>
      <c r="L48" s="7">
        <f t="shared" si="12"/>
        <v>0.87979999999999992</v>
      </c>
      <c r="O48">
        <f t="shared" si="13"/>
        <v>2001</v>
      </c>
      <c r="P48" s="6">
        <f t="shared" si="6"/>
        <v>1</v>
      </c>
      <c r="Q48" s="6">
        <f t="shared" si="6"/>
        <v>0</v>
      </c>
      <c r="R48" s="7"/>
      <c r="S48" s="7"/>
      <c r="T48" s="6">
        <f t="shared" si="7"/>
        <v>0</v>
      </c>
      <c r="U48" s="6"/>
      <c r="V48" s="6">
        <f t="shared" si="8"/>
        <v>0</v>
      </c>
      <c r="W48" s="6">
        <f t="shared" si="14"/>
        <v>1</v>
      </c>
      <c r="X48" s="7">
        <f t="shared" si="15"/>
        <v>1</v>
      </c>
      <c r="Y48" s="7">
        <f t="shared" si="16"/>
        <v>0</v>
      </c>
    </row>
    <row r="49" spans="1:25" x14ac:dyDescent="0.25">
      <c r="A49">
        <f t="shared" si="2"/>
        <v>2002</v>
      </c>
      <c r="B49" s="2">
        <f t="shared" si="3"/>
        <v>242676.67066660404</v>
      </c>
      <c r="C49" s="2">
        <f t="shared" si="3"/>
        <v>0</v>
      </c>
      <c r="D49" s="2"/>
      <c r="E49" s="2"/>
      <c r="F49" s="2"/>
      <c r="G49" s="2">
        <f>F48*(1+(G13/100))</f>
        <v>0</v>
      </c>
      <c r="H49" s="2">
        <f t="shared" si="5"/>
        <v>0</v>
      </c>
      <c r="I49" s="2">
        <f t="shared" ref="I49:I64" si="17">SUM(B49:H49)</f>
        <v>242676.67066660404</v>
      </c>
      <c r="J49" s="2">
        <f t="shared" si="10"/>
        <v>-69046.734171679913</v>
      </c>
      <c r="K49" s="6">
        <f t="shared" si="11"/>
        <v>-0.22150000000000006</v>
      </c>
      <c r="L49" s="7">
        <f t="shared" si="12"/>
        <v>0.77849999999999997</v>
      </c>
      <c r="O49">
        <f t="shared" si="13"/>
        <v>2002</v>
      </c>
      <c r="P49" s="6">
        <f t="shared" si="6"/>
        <v>1</v>
      </c>
      <c r="Q49" s="6">
        <f t="shared" si="6"/>
        <v>0</v>
      </c>
      <c r="R49" s="7"/>
      <c r="S49" s="7"/>
      <c r="T49" s="6"/>
      <c r="U49" s="6">
        <f t="shared" si="6"/>
        <v>0</v>
      </c>
      <c r="V49" s="6">
        <f t="shared" si="8"/>
        <v>0</v>
      </c>
      <c r="W49" s="6">
        <f t="shared" si="14"/>
        <v>1</v>
      </c>
      <c r="X49" s="7">
        <f t="shared" si="15"/>
        <v>1</v>
      </c>
      <c r="Y49" s="7">
        <f t="shared" si="16"/>
        <v>0</v>
      </c>
    </row>
    <row r="50" spans="1:25" x14ac:dyDescent="0.25">
      <c r="A50">
        <f t="shared" si="2"/>
        <v>2003</v>
      </c>
      <c r="B50" s="2">
        <f t="shared" si="3"/>
        <v>311839.52180658618</v>
      </c>
      <c r="C50" s="2">
        <f t="shared" si="3"/>
        <v>0</v>
      </c>
      <c r="D50" s="2"/>
      <c r="E50" s="2"/>
      <c r="F50" s="2"/>
      <c r="G50" s="2">
        <f t="shared" ref="G50:G64" si="18">G49*(1+(G14/100))</f>
        <v>0</v>
      </c>
      <c r="H50" s="2">
        <f t="shared" si="5"/>
        <v>0</v>
      </c>
      <c r="I50" s="2">
        <f t="shared" si="17"/>
        <v>311839.52180658618</v>
      </c>
      <c r="J50" s="2">
        <f t="shared" si="10"/>
        <v>69162.851139982144</v>
      </c>
      <c r="K50" s="6">
        <f t="shared" si="11"/>
        <v>0.28499999999999998</v>
      </c>
      <c r="L50" s="7">
        <f t="shared" si="12"/>
        <v>1.2849999999999999</v>
      </c>
      <c r="O50">
        <f t="shared" si="13"/>
        <v>2003</v>
      </c>
      <c r="P50" s="6">
        <f t="shared" si="6"/>
        <v>1</v>
      </c>
      <c r="Q50" s="6">
        <f t="shared" si="6"/>
        <v>0</v>
      </c>
      <c r="R50" s="7"/>
      <c r="S50" s="7"/>
      <c r="T50" s="7"/>
      <c r="U50" s="6">
        <f t="shared" si="6"/>
        <v>0</v>
      </c>
      <c r="V50" s="6">
        <f t="shared" si="8"/>
        <v>0</v>
      </c>
      <c r="W50" s="6">
        <f t="shared" si="14"/>
        <v>1</v>
      </c>
      <c r="X50" s="7">
        <f t="shared" si="15"/>
        <v>1</v>
      </c>
      <c r="Y50" s="7">
        <f t="shared" si="16"/>
        <v>0</v>
      </c>
    </row>
    <row r="51" spans="1:25" x14ac:dyDescent="0.25">
      <c r="A51">
        <f t="shared" si="2"/>
        <v>2004</v>
      </c>
      <c r="B51" s="2">
        <f t="shared" si="3"/>
        <v>345331.0864486135</v>
      </c>
      <c r="C51" s="2"/>
      <c r="D51" s="2">
        <f>($C50*0.67)*(1+(D15/100))</f>
        <v>0</v>
      </c>
      <c r="E51" s="2">
        <f>($C50*0.33)*(1+(E15/100))</f>
        <v>0</v>
      </c>
      <c r="F51" s="2"/>
      <c r="G51" s="2">
        <f t="shared" si="18"/>
        <v>0</v>
      </c>
      <c r="H51" s="2">
        <f t="shared" si="5"/>
        <v>0</v>
      </c>
      <c r="I51" s="2">
        <f t="shared" si="17"/>
        <v>345331.0864486135</v>
      </c>
      <c r="J51" s="2">
        <f t="shared" si="10"/>
        <v>33491.564642027311</v>
      </c>
      <c r="K51" s="6">
        <f t="shared" si="11"/>
        <v>0.10739999999999986</v>
      </c>
      <c r="L51" s="7">
        <f t="shared" si="12"/>
        <v>1.1073999999999999</v>
      </c>
      <c r="O51">
        <f t="shared" si="13"/>
        <v>2004</v>
      </c>
      <c r="P51" s="6">
        <f t="shared" si="6"/>
        <v>1</v>
      </c>
      <c r="Q51" s="7"/>
      <c r="R51" s="6">
        <f t="shared" si="6"/>
        <v>0</v>
      </c>
      <c r="S51" s="6">
        <f t="shared" si="6"/>
        <v>0</v>
      </c>
      <c r="T51" s="7"/>
      <c r="U51" s="6">
        <f t="shared" si="6"/>
        <v>0</v>
      </c>
      <c r="V51" s="6">
        <f t="shared" si="8"/>
        <v>0</v>
      </c>
      <c r="W51" s="6">
        <f t="shared" si="14"/>
        <v>1</v>
      </c>
      <c r="X51" s="7">
        <f t="shared" si="15"/>
        <v>1</v>
      </c>
      <c r="Y51" s="7">
        <f t="shared" si="16"/>
        <v>0</v>
      </c>
    </row>
    <row r="52" spans="1:25" x14ac:dyDescent="0.25">
      <c r="A52">
        <f t="shared" si="2"/>
        <v>2005</v>
      </c>
      <c r="B52" s="2">
        <f t="shared" si="3"/>
        <v>361803.37927221239</v>
      </c>
      <c r="C52" s="2"/>
      <c r="D52" s="2">
        <f t="shared" ref="D52:E64" si="19">D51*(1+(D16/100))</f>
        <v>0</v>
      </c>
      <c r="E52" s="2">
        <f t="shared" si="19"/>
        <v>0</v>
      </c>
      <c r="F52" s="2"/>
      <c r="G52" s="2">
        <f t="shared" si="18"/>
        <v>0</v>
      </c>
      <c r="H52" s="2">
        <f t="shared" si="5"/>
        <v>0</v>
      </c>
      <c r="I52" s="2">
        <f t="shared" si="17"/>
        <v>361803.37927221239</v>
      </c>
      <c r="J52" s="2">
        <f t="shared" si="10"/>
        <v>16472.292823598895</v>
      </c>
      <c r="K52" s="6">
        <f t="shared" si="11"/>
        <v>4.770000000000009E-2</v>
      </c>
      <c r="L52" s="7">
        <f t="shared" si="12"/>
        <v>1.0477000000000001</v>
      </c>
      <c r="O52">
        <f t="shared" si="13"/>
        <v>2005</v>
      </c>
      <c r="P52" s="6">
        <f t="shared" si="6"/>
        <v>1</v>
      </c>
      <c r="Q52" s="7"/>
      <c r="R52" s="6">
        <f t="shared" si="6"/>
        <v>0</v>
      </c>
      <c r="S52" s="6">
        <f t="shared" si="6"/>
        <v>0</v>
      </c>
      <c r="T52" s="7"/>
      <c r="U52" s="6">
        <f t="shared" si="6"/>
        <v>0</v>
      </c>
      <c r="V52" s="6">
        <f t="shared" si="8"/>
        <v>0</v>
      </c>
      <c r="W52" s="6">
        <f t="shared" si="14"/>
        <v>1</v>
      </c>
      <c r="X52" s="7">
        <f t="shared" si="15"/>
        <v>1</v>
      </c>
      <c r="Y52" s="7">
        <f t="shared" si="16"/>
        <v>0</v>
      </c>
    </row>
    <row r="53" spans="1:25" x14ac:dyDescent="0.25">
      <c r="A53">
        <f t="shared" si="2"/>
        <v>2006</v>
      </c>
      <c r="B53" s="2">
        <f t="shared" si="3"/>
        <v>418389.42779038643</v>
      </c>
      <c r="C53" s="2"/>
      <c r="D53" s="2">
        <f t="shared" si="19"/>
        <v>0</v>
      </c>
      <c r="E53" s="2">
        <f t="shared" si="19"/>
        <v>0</v>
      </c>
      <c r="F53" s="2"/>
      <c r="G53" s="2">
        <f t="shared" si="18"/>
        <v>0</v>
      </c>
      <c r="H53" s="2">
        <f t="shared" si="5"/>
        <v>0</v>
      </c>
      <c r="I53" s="2">
        <f t="shared" si="17"/>
        <v>418389.42779038643</v>
      </c>
      <c r="J53" s="2">
        <f t="shared" si="10"/>
        <v>56586.048518174037</v>
      </c>
      <c r="K53" s="6">
        <f t="shared" si="11"/>
        <v>0.15640000000000004</v>
      </c>
      <c r="L53" s="7">
        <f t="shared" si="12"/>
        <v>1.1564000000000001</v>
      </c>
      <c r="O53">
        <f t="shared" si="13"/>
        <v>2006</v>
      </c>
      <c r="P53" s="6">
        <f t="shared" si="6"/>
        <v>1</v>
      </c>
      <c r="Q53" s="7"/>
      <c r="R53" s="6">
        <f t="shared" si="6"/>
        <v>0</v>
      </c>
      <c r="S53" s="6">
        <f t="shared" si="6"/>
        <v>0</v>
      </c>
      <c r="T53" s="7"/>
      <c r="U53" s="6">
        <f t="shared" si="6"/>
        <v>0</v>
      </c>
      <c r="V53" s="6">
        <f t="shared" si="8"/>
        <v>0</v>
      </c>
      <c r="W53" s="6">
        <f t="shared" si="14"/>
        <v>1</v>
      </c>
      <c r="X53" s="7">
        <f t="shared" si="15"/>
        <v>1</v>
      </c>
      <c r="Y53" s="7">
        <f t="shared" si="16"/>
        <v>0</v>
      </c>
    </row>
    <row r="54" spans="1:25" x14ac:dyDescent="0.25">
      <c r="A54">
        <f t="shared" si="2"/>
        <v>2007</v>
      </c>
      <c r="B54" s="2">
        <f t="shared" si="3"/>
        <v>440940.61794828827</v>
      </c>
      <c r="C54" s="2"/>
      <c r="D54" s="2">
        <f t="shared" si="19"/>
        <v>0</v>
      </c>
      <c r="E54" s="2">
        <f t="shared" si="19"/>
        <v>0</v>
      </c>
      <c r="F54" s="2"/>
      <c r="G54" s="2">
        <f t="shared" si="18"/>
        <v>0</v>
      </c>
      <c r="H54" s="2">
        <f t="shared" si="5"/>
        <v>0</v>
      </c>
      <c r="I54" s="2">
        <f t="shared" si="17"/>
        <v>440940.61794828827</v>
      </c>
      <c r="J54" s="2">
        <f t="shared" si="10"/>
        <v>22551.190157901845</v>
      </c>
      <c r="K54" s="6">
        <f t="shared" si="11"/>
        <v>5.3900000000000038E-2</v>
      </c>
      <c r="L54" s="7">
        <f t="shared" si="12"/>
        <v>1.0539000000000001</v>
      </c>
      <c r="O54">
        <f t="shared" si="13"/>
        <v>2007</v>
      </c>
      <c r="P54" s="6">
        <f t="shared" si="6"/>
        <v>1</v>
      </c>
      <c r="Q54" s="7"/>
      <c r="R54" s="6">
        <f t="shared" si="6"/>
        <v>0</v>
      </c>
      <c r="S54" s="6">
        <f t="shared" si="6"/>
        <v>0</v>
      </c>
      <c r="T54" s="7"/>
      <c r="U54" s="6">
        <f t="shared" si="6"/>
        <v>0</v>
      </c>
      <c r="V54" s="6">
        <f t="shared" si="8"/>
        <v>0</v>
      </c>
      <c r="W54" s="6">
        <f t="shared" si="14"/>
        <v>1</v>
      </c>
      <c r="X54" s="7">
        <f t="shared" si="15"/>
        <v>1</v>
      </c>
      <c r="Y54" s="7">
        <f t="shared" si="16"/>
        <v>0</v>
      </c>
    </row>
    <row r="55" spans="1:25" x14ac:dyDescent="0.25">
      <c r="A55">
        <f t="shared" si="2"/>
        <v>2008</v>
      </c>
      <c r="B55" s="2">
        <f t="shared" si="3"/>
        <v>277704.40118383191</v>
      </c>
      <c r="C55" s="2"/>
      <c r="D55" s="2">
        <f t="shared" si="19"/>
        <v>0</v>
      </c>
      <c r="E55" s="2">
        <f t="shared" si="19"/>
        <v>0</v>
      </c>
      <c r="F55" s="2"/>
      <c r="G55" s="2">
        <f t="shared" si="18"/>
        <v>0</v>
      </c>
      <c r="H55" s="2">
        <f t="shared" si="5"/>
        <v>0</v>
      </c>
      <c r="I55" s="2">
        <f t="shared" si="17"/>
        <v>277704.40118383191</v>
      </c>
      <c r="J55" s="2">
        <f t="shared" si="10"/>
        <v>-163236.21676445636</v>
      </c>
      <c r="K55" s="6">
        <f t="shared" si="11"/>
        <v>-0.37020000000000008</v>
      </c>
      <c r="L55" s="7">
        <f t="shared" si="12"/>
        <v>0.62979999999999992</v>
      </c>
      <c r="O55">
        <f t="shared" si="13"/>
        <v>2008</v>
      </c>
      <c r="P55" s="6">
        <f t="shared" si="6"/>
        <v>1</v>
      </c>
      <c r="Q55" s="7"/>
      <c r="R55" s="6">
        <f t="shared" si="6"/>
        <v>0</v>
      </c>
      <c r="S55" s="6">
        <f t="shared" si="6"/>
        <v>0</v>
      </c>
      <c r="T55" s="7"/>
      <c r="U55" s="6">
        <f t="shared" si="6"/>
        <v>0</v>
      </c>
      <c r="V55" s="6">
        <f t="shared" si="8"/>
        <v>0</v>
      </c>
      <c r="W55" s="6">
        <f t="shared" si="14"/>
        <v>1</v>
      </c>
      <c r="X55" s="7">
        <f t="shared" si="15"/>
        <v>1</v>
      </c>
      <c r="Y55" s="7">
        <f t="shared" si="16"/>
        <v>0</v>
      </c>
    </row>
    <row r="56" spans="1:25" x14ac:dyDescent="0.25">
      <c r="A56">
        <f t="shared" si="2"/>
        <v>2009</v>
      </c>
      <c r="B56" s="2">
        <f t="shared" ref="B56:B64" si="20">B55*(1+(B20/100))</f>
        <v>351268.29705742898</v>
      </c>
      <c r="C56" s="2"/>
      <c r="D56" s="2">
        <f t="shared" si="19"/>
        <v>0</v>
      </c>
      <c r="E56" s="2">
        <f t="shared" si="19"/>
        <v>0</v>
      </c>
      <c r="F56" s="2"/>
      <c r="G56" s="2">
        <f t="shared" si="18"/>
        <v>0</v>
      </c>
      <c r="H56" s="2">
        <f t="shared" si="5"/>
        <v>0</v>
      </c>
      <c r="I56" s="2">
        <f t="shared" si="17"/>
        <v>351268.29705742898</v>
      </c>
      <c r="J56" s="2">
        <f>I56-I55</f>
        <v>73563.895873597066</v>
      </c>
      <c r="K56" s="6">
        <f>(J56/I55)</f>
        <v>0.26489999999999997</v>
      </c>
      <c r="L56" s="7">
        <f t="shared" si="12"/>
        <v>1.2648999999999999</v>
      </c>
      <c r="O56">
        <f t="shared" si="13"/>
        <v>2009</v>
      </c>
      <c r="P56" s="6">
        <f t="shared" si="6"/>
        <v>1</v>
      </c>
      <c r="Q56" s="7"/>
      <c r="R56" s="6">
        <f t="shared" si="6"/>
        <v>0</v>
      </c>
      <c r="S56" s="6">
        <f t="shared" si="6"/>
        <v>0</v>
      </c>
      <c r="T56" s="7"/>
      <c r="U56" s="6">
        <f t="shared" si="6"/>
        <v>0</v>
      </c>
      <c r="V56" s="6">
        <f t="shared" si="8"/>
        <v>0</v>
      </c>
      <c r="W56" s="6">
        <f t="shared" si="14"/>
        <v>1</v>
      </c>
      <c r="X56" s="7">
        <f t="shared" si="15"/>
        <v>1</v>
      </c>
      <c r="Y56" s="7">
        <f t="shared" si="16"/>
        <v>0</v>
      </c>
    </row>
    <row r="57" spans="1:25" x14ac:dyDescent="0.25">
      <c r="A57">
        <f t="shared" si="2"/>
        <v>2010</v>
      </c>
      <c r="B57" s="2">
        <f t="shared" si="20"/>
        <v>403642.40014869167</v>
      </c>
      <c r="C57" s="2"/>
      <c r="D57" s="2">
        <f t="shared" si="19"/>
        <v>0</v>
      </c>
      <c r="E57" s="2">
        <f t="shared" si="19"/>
        <v>0</v>
      </c>
      <c r="F57" s="2"/>
      <c r="G57" s="2">
        <f t="shared" si="18"/>
        <v>0</v>
      </c>
      <c r="H57" s="2">
        <f t="shared" si="5"/>
        <v>0</v>
      </c>
      <c r="I57" s="2">
        <f t="shared" si="17"/>
        <v>403642.40014869167</v>
      </c>
      <c r="J57" s="2">
        <f t="shared" si="10"/>
        <v>52374.103091262688</v>
      </c>
      <c r="K57" s="6">
        <f t="shared" si="11"/>
        <v>0.14910000000000007</v>
      </c>
      <c r="L57" s="7">
        <f t="shared" si="12"/>
        <v>1.1491</v>
      </c>
      <c r="O57">
        <f t="shared" si="13"/>
        <v>2010</v>
      </c>
      <c r="P57" s="6">
        <f t="shared" si="6"/>
        <v>1</v>
      </c>
      <c r="Q57" s="7"/>
      <c r="R57" s="6">
        <f t="shared" si="6"/>
        <v>0</v>
      </c>
      <c r="S57" s="6">
        <f t="shared" si="6"/>
        <v>0</v>
      </c>
      <c r="T57" s="7"/>
      <c r="U57" s="6">
        <f t="shared" si="6"/>
        <v>0</v>
      </c>
      <c r="V57" s="6">
        <f t="shared" si="8"/>
        <v>0</v>
      </c>
      <c r="W57" s="6">
        <f t="shared" si="14"/>
        <v>1</v>
      </c>
      <c r="X57" s="7">
        <f t="shared" si="15"/>
        <v>1</v>
      </c>
      <c r="Y57" s="7">
        <f t="shared" si="16"/>
        <v>0</v>
      </c>
    </row>
    <row r="58" spans="1:25" x14ac:dyDescent="0.25">
      <c r="A58">
        <f t="shared" si="2"/>
        <v>2011</v>
      </c>
      <c r="B58" s="2">
        <f t="shared" si="20"/>
        <v>411594.15543162089</v>
      </c>
      <c r="C58" s="2"/>
      <c r="D58" s="2">
        <f t="shared" si="19"/>
        <v>0</v>
      </c>
      <c r="E58" s="2">
        <f t="shared" si="19"/>
        <v>0</v>
      </c>
      <c r="F58" s="2"/>
      <c r="G58" s="2">
        <f t="shared" si="18"/>
        <v>0</v>
      </c>
      <c r="H58" s="2">
        <f t="shared" si="5"/>
        <v>0</v>
      </c>
      <c r="I58" s="2">
        <f t="shared" si="17"/>
        <v>411594.15543162089</v>
      </c>
      <c r="J58" s="2">
        <f t="shared" si="10"/>
        <v>7951.7552829292254</v>
      </c>
      <c r="K58" s="6">
        <f t="shared" si="11"/>
        <v>1.9699999999999999E-2</v>
      </c>
      <c r="L58" s="7">
        <f t="shared" si="12"/>
        <v>1.0197000000000001</v>
      </c>
      <c r="O58">
        <f t="shared" si="13"/>
        <v>2011</v>
      </c>
      <c r="P58" s="6">
        <f t="shared" si="6"/>
        <v>1</v>
      </c>
      <c r="Q58" s="7"/>
      <c r="R58" s="6">
        <f t="shared" si="6"/>
        <v>0</v>
      </c>
      <c r="S58" s="6">
        <f t="shared" si="6"/>
        <v>0</v>
      </c>
      <c r="T58" s="7"/>
      <c r="U58" s="6">
        <f t="shared" si="6"/>
        <v>0</v>
      </c>
      <c r="V58" s="6">
        <f t="shared" si="8"/>
        <v>0</v>
      </c>
      <c r="W58" s="6">
        <f t="shared" si="14"/>
        <v>1</v>
      </c>
      <c r="X58" s="7">
        <f t="shared" si="15"/>
        <v>1</v>
      </c>
      <c r="Y58" s="7">
        <f t="shared" si="16"/>
        <v>0</v>
      </c>
    </row>
    <row r="59" spans="1:25" x14ac:dyDescent="0.25">
      <c r="A59">
        <f t="shared" si="2"/>
        <v>2012</v>
      </c>
      <c r="B59" s="2">
        <f t="shared" si="20"/>
        <v>476708.35082090326</v>
      </c>
      <c r="C59" s="2"/>
      <c r="D59" s="2">
        <f t="shared" si="19"/>
        <v>0</v>
      </c>
      <c r="E59" s="2">
        <f t="shared" si="19"/>
        <v>0</v>
      </c>
      <c r="F59" s="2"/>
      <c r="G59" s="2">
        <f t="shared" si="18"/>
        <v>0</v>
      </c>
      <c r="H59" s="2">
        <f t="shared" si="5"/>
        <v>0</v>
      </c>
      <c r="I59" s="2">
        <f t="shared" si="17"/>
        <v>476708.35082090326</v>
      </c>
      <c r="J59" s="2">
        <f t="shared" si="10"/>
        <v>65114.195389282366</v>
      </c>
      <c r="K59" s="6">
        <f t="shared" si="11"/>
        <v>0.15819999999999987</v>
      </c>
      <c r="L59" s="7">
        <f t="shared" si="12"/>
        <v>1.1581999999999999</v>
      </c>
      <c r="O59">
        <f t="shared" si="13"/>
        <v>2012</v>
      </c>
      <c r="P59" s="6">
        <f t="shared" si="6"/>
        <v>1</v>
      </c>
      <c r="Q59" s="7"/>
      <c r="R59" s="6">
        <f t="shared" si="6"/>
        <v>0</v>
      </c>
      <c r="S59" s="6">
        <f t="shared" si="6"/>
        <v>0</v>
      </c>
      <c r="T59" s="7"/>
      <c r="U59" s="6">
        <f t="shared" si="6"/>
        <v>0</v>
      </c>
      <c r="V59" s="6">
        <f t="shared" si="8"/>
        <v>0</v>
      </c>
      <c r="W59" s="6">
        <f t="shared" si="14"/>
        <v>1</v>
      </c>
      <c r="X59" s="7">
        <f t="shared" si="15"/>
        <v>1</v>
      </c>
      <c r="Y59" s="7">
        <f t="shared" si="16"/>
        <v>0</v>
      </c>
    </row>
    <row r="60" spans="1:25" x14ac:dyDescent="0.25">
      <c r="A60">
        <f t="shared" si="2"/>
        <v>2013</v>
      </c>
      <c r="B60" s="2">
        <f t="shared" si="20"/>
        <v>630113.09811507002</v>
      </c>
      <c r="C60" s="2"/>
      <c r="D60" s="2">
        <f t="shared" si="19"/>
        <v>0</v>
      </c>
      <c r="E60" s="2">
        <f t="shared" si="19"/>
        <v>0</v>
      </c>
      <c r="F60" s="2"/>
      <c r="G60" s="2">
        <f t="shared" si="18"/>
        <v>0</v>
      </c>
      <c r="H60" s="2">
        <f t="shared" si="5"/>
        <v>0</v>
      </c>
      <c r="I60" s="2">
        <f t="shared" si="17"/>
        <v>630113.09811507002</v>
      </c>
      <c r="J60" s="2">
        <f t="shared" si="10"/>
        <v>153404.74729416677</v>
      </c>
      <c r="K60" s="6">
        <f t="shared" si="11"/>
        <v>0.3218000000000002</v>
      </c>
      <c r="L60" s="7">
        <f t="shared" si="12"/>
        <v>1.3218000000000001</v>
      </c>
      <c r="O60">
        <f t="shared" si="13"/>
        <v>2013</v>
      </c>
      <c r="P60" s="6">
        <f t="shared" si="6"/>
        <v>1</v>
      </c>
      <c r="Q60" s="7"/>
      <c r="R60" s="6">
        <f t="shared" si="6"/>
        <v>0</v>
      </c>
      <c r="S60" s="6">
        <f t="shared" si="6"/>
        <v>0</v>
      </c>
      <c r="T60" s="7"/>
      <c r="U60" s="6">
        <f t="shared" si="6"/>
        <v>0</v>
      </c>
      <c r="V60" s="6">
        <f t="shared" si="8"/>
        <v>0</v>
      </c>
      <c r="W60" s="6">
        <f t="shared" si="14"/>
        <v>1</v>
      </c>
      <c r="X60" s="7">
        <f t="shared" si="15"/>
        <v>1</v>
      </c>
      <c r="Y60" s="7">
        <f t="shared" si="16"/>
        <v>0</v>
      </c>
    </row>
    <row r="61" spans="1:25" x14ac:dyDescent="0.25">
      <c r="A61">
        <f t="shared" si="2"/>
        <v>2014</v>
      </c>
      <c r="B61" s="2">
        <f t="shared" si="20"/>
        <v>715241.37767041603</v>
      </c>
      <c r="C61" s="2"/>
      <c r="D61" s="2">
        <f t="shared" si="19"/>
        <v>0</v>
      </c>
      <c r="E61" s="2">
        <f t="shared" si="19"/>
        <v>0</v>
      </c>
      <c r="F61" s="2"/>
      <c r="G61" s="2">
        <f t="shared" si="18"/>
        <v>0</v>
      </c>
      <c r="H61" s="2">
        <f t="shared" si="5"/>
        <v>0</v>
      </c>
      <c r="I61" s="2">
        <f t="shared" si="17"/>
        <v>715241.37767041603</v>
      </c>
      <c r="J61" s="2">
        <f t="shared" si="10"/>
        <v>85128.279555346002</v>
      </c>
      <c r="K61" s="6">
        <f t="shared" si="11"/>
        <v>0.13510000000000005</v>
      </c>
      <c r="L61" s="7">
        <f t="shared" si="12"/>
        <v>1.1351</v>
      </c>
      <c r="O61">
        <f t="shared" si="13"/>
        <v>2014</v>
      </c>
      <c r="P61" s="6">
        <f t="shared" si="6"/>
        <v>1</v>
      </c>
      <c r="Q61" s="7"/>
      <c r="R61" s="6">
        <f t="shared" si="6"/>
        <v>0</v>
      </c>
      <c r="S61" s="6">
        <f t="shared" si="6"/>
        <v>0</v>
      </c>
      <c r="T61" s="7"/>
      <c r="U61" s="6">
        <f t="shared" si="6"/>
        <v>0</v>
      </c>
      <c r="V61" s="6">
        <f t="shared" si="8"/>
        <v>0</v>
      </c>
      <c r="W61" s="6">
        <f t="shared" si="14"/>
        <v>1</v>
      </c>
      <c r="X61" s="7">
        <f t="shared" si="15"/>
        <v>1</v>
      </c>
      <c r="Y61" s="7">
        <f t="shared" si="16"/>
        <v>0</v>
      </c>
    </row>
    <row r="62" spans="1:25" x14ac:dyDescent="0.25">
      <c r="A62">
        <f t="shared" si="2"/>
        <v>2015</v>
      </c>
      <c r="B62" s="2">
        <f t="shared" si="20"/>
        <v>724181.89489129616</v>
      </c>
      <c r="C62" s="2"/>
      <c r="D62" s="2">
        <f t="shared" si="19"/>
        <v>0</v>
      </c>
      <c r="E62" s="2">
        <f t="shared" si="19"/>
        <v>0</v>
      </c>
      <c r="F62" s="2"/>
      <c r="G62" s="2">
        <f t="shared" si="18"/>
        <v>0</v>
      </c>
      <c r="H62" s="2">
        <f t="shared" si="5"/>
        <v>0</v>
      </c>
      <c r="I62" s="2">
        <f t="shared" si="17"/>
        <v>724181.89489129616</v>
      </c>
      <c r="J62" s="2">
        <f t="shared" si="10"/>
        <v>8940.5172208801378</v>
      </c>
      <c r="K62" s="6">
        <f t="shared" si="11"/>
        <v>1.2499999999999912E-2</v>
      </c>
      <c r="L62" s="7">
        <f t="shared" si="12"/>
        <v>1.0125</v>
      </c>
      <c r="O62">
        <f t="shared" si="13"/>
        <v>2015</v>
      </c>
      <c r="P62" s="6">
        <f t="shared" si="6"/>
        <v>1</v>
      </c>
      <c r="Q62" s="7"/>
      <c r="R62" s="6">
        <f t="shared" si="6"/>
        <v>0</v>
      </c>
      <c r="S62" s="6">
        <f t="shared" si="6"/>
        <v>0</v>
      </c>
      <c r="T62" s="7"/>
      <c r="U62" s="6">
        <f t="shared" si="6"/>
        <v>0</v>
      </c>
      <c r="V62" s="6">
        <f t="shared" si="8"/>
        <v>0</v>
      </c>
      <c r="W62" s="6">
        <f t="shared" si="14"/>
        <v>1</v>
      </c>
      <c r="X62" s="7">
        <f t="shared" si="15"/>
        <v>1</v>
      </c>
      <c r="Y62" s="7">
        <f t="shared" si="16"/>
        <v>0</v>
      </c>
    </row>
    <row r="63" spans="1:25" x14ac:dyDescent="0.25">
      <c r="A63">
        <f t="shared" si="2"/>
        <v>2016</v>
      </c>
      <c r="B63" s="2">
        <f t="shared" si="20"/>
        <v>809780.19486744748</v>
      </c>
      <c r="C63" s="2"/>
      <c r="D63" s="2">
        <f t="shared" si="19"/>
        <v>0</v>
      </c>
      <c r="E63" s="2">
        <f t="shared" si="19"/>
        <v>0</v>
      </c>
      <c r="F63" s="2"/>
      <c r="G63" s="2">
        <f t="shared" si="18"/>
        <v>0</v>
      </c>
      <c r="H63" s="2">
        <f t="shared" si="5"/>
        <v>0</v>
      </c>
      <c r="I63" s="2">
        <f t="shared" si="17"/>
        <v>809780.19486744748</v>
      </c>
      <c r="J63" s="2">
        <f t="shared" si="10"/>
        <v>85598.29997615132</v>
      </c>
      <c r="K63" s="6">
        <f t="shared" si="11"/>
        <v>0.11820000000000015</v>
      </c>
      <c r="L63" s="7">
        <f t="shared" si="12"/>
        <v>1.1182000000000001</v>
      </c>
      <c r="O63">
        <f t="shared" si="13"/>
        <v>2016</v>
      </c>
      <c r="P63" s="6">
        <f t="shared" si="6"/>
        <v>1</v>
      </c>
      <c r="Q63" s="7"/>
      <c r="R63" s="6">
        <f t="shared" si="6"/>
        <v>0</v>
      </c>
      <c r="S63" s="6">
        <f t="shared" si="6"/>
        <v>0</v>
      </c>
      <c r="T63" s="7"/>
      <c r="U63" s="6">
        <f t="shared" si="6"/>
        <v>0</v>
      </c>
      <c r="V63" s="6">
        <f t="shared" si="8"/>
        <v>0</v>
      </c>
      <c r="W63" s="6">
        <f t="shared" si="14"/>
        <v>1</v>
      </c>
      <c r="X63" s="7">
        <f t="shared" si="15"/>
        <v>1</v>
      </c>
      <c r="Y63" s="7">
        <f t="shared" si="16"/>
        <v>0</v>
      </c>
    </row>
    <row r="64" spans="1:25" x14ac:dyDescent="0.25">
      <c r="A64">
        <f t="shared" si="2"/>
        <v>2017</v>
      </c>
      <c r="B64" s="2">
        <f t="shared" si="20"/>
        <v>985259.56309522328</v>
      </c>
      <c r="C64" s="2"/>
      <c r="D64" s="2">
        <f t="shared" si="19"/>
        <v>0</v>
      </c>
      <c r="E64" s="2">
        <f t="shared" si="19"/>
        <v>0</v>
      </c>
      <c r="F64" s="2"/>
      <c r="G64" s="2">
        <f t="shared" si="18"/>
        <v>0</v>
      </c>
      <c r="H64" s="2">
        <f t="shared" si="5"/>
        <v>0</v>
      </c>
      <c r="I64" s="2">
        <f t="shared" si="17"/>
        <v>985259.56309522328</v>
      </c>
      <c r="J64" s="2">
        <f t="shared" si="10"/>
        <v>175479.36822777579</v>
      </c>
      <c r="K64" s="6">
        <f t="shared" si="11"/>
        <v>0.21669999999999989</v>
      </c>
      <c r="L64" s="7">
        <f t="shared" si="12"/>
        <v>1.2166999999999999</v>
      </c>
      <c r="O64">
        <f t="shared" si="13"/>
        <v>2017</v>
      </c>
      <c r="P64" s="6">
        <f t="shared" si="6"/>
        <v>1</v>
      </c>
      <c r="Q64" s="7"/>
      <c r="R64" s="6">
        <f t="shared" si="6"/>
        <v>0</v>
      </c>
      <c r="S64" s="6">
        <f t="shared" si="6"/>
        <v>0</v>
      </c>
      <c r="T64" s="7"/>
      <c r="U64" s="6">
        <f t="shared" si="6"/>
        <v>0</v>
      </c>
      <c r="V64" s="6">
        <f t="shared" si="8"/>
        <v>0</v>
      </c>
      <c r="W64" s="6">
        <f t="shared" si="14"/>
        <v>1</v>
      </c>
      <c r="X64" s="7">
        <f t="shared" si="15"/>
        <v>1</v>
      </c>
      <c r="Y64" s="7">
        <f t="shared" si="16"/>
        <v>0</v>
      </c>
    </row>
    <row r="65" spans="1:19" x14ac:dyDescent="0.25">
      <c r="A65" s="9" t="s">
        <v>79</v>
      </c>
      <c r="B65" s="10">
        <f>B64</f>
        <v>985259.56309522328</v>
      </c>
      <c r="C65" s="10"/>
      <c r="D65" s="10">
        <f>D64</f>
        <v>0</v>
      </c>
      <c r="E65" s="10">
        <f>E64</f>
        <v>0</v>
      </c>
      <c r="F65" s="10"/>
      <c r="G65" s="10">
        <f>G64</f>
        <v>0</v>
      </c>
      <c r="H65" s="10">
        <f>H64</f>
        <v>0</v>
      </c>
      <c r="I65" s="52">
        <f>SUM(B65:H65)</f>
        <v>985259.56309522328</v>
      </c>
      <c r="J65" s="10"/>
      <c r="K65" s="10"/>
      <c r="L65" s="74"/>
      <c r="S65" s="7"/>
    </row>
    <row r="66" spans="1:19" x14ac:dyDescent="0.25">
      <c r="A66" s="11" t="s">
        <v>80</v>
      </c>
      <c r="I66" s="51">
        <f>(I65-I39)/I39</f>
        <v>8.8525956309522336</v>
      </c>
      <c r="K66" s="6"/>
      <c r="R66" s="7"/>
    </row>
    <row r="67" spans="1:19" x14ac:dyDescent="0.25">
      <c r="A67" s="1" t="s">
        <v>81</v>
      </c>
      <c r="I67" s="29">
        <f>STDEV(L40:L64)</f>
        <v>0.17798991525739094</v>
      </c>
    </row>
    <row r="68" spans="1:19" x14ac:dyDescent="0.25">
      <c r="A68" s="1" t="s">
        <v>82</v>
      </c>
      <c r="I68" s="13">
        <f>((1+I66)^(1/I73))-1</f>
        <v>9.5827074626598341E-2</v>
      </c>
    </row>
    <row r="69" spans="1:19" x14ac:dyDescent="0.25">
      <c r="A69" s="1" t="s">
        <v>83</v>
      </c>
      <c r="I69" s="31">
        <f>J60</f>
        <v>153404.74729416677</v>
      </c>
    </row>
    <row r="70" spans="1:19" x14ac:dyDescent="0.25">
      <c r="A70" s="1" t="s">
        <v>84</v>
      </c>
      <c r="I70" s="32">
        <f>K60</f>
        <v>0.3218000000000002</v>
      </c>
    </row>
    <row r="71" spans="1:19" x14ac:dyDescent="0.25">
      <c r="A71" s="3" t="s">
        <v>85</v>
      </c>
      <c r="I71" s="33">
        <f>I64-I65</f>
        <v>0</v>
      </c>
    </row>
    <row r="72" spans="1:19" x14ac:dyDescent="0.25">
      <c r="A72" s="3" t="s">
        <v>149</v>
      </c>
      <c r="I72" s="33">
        <f>((SUM(J40:J64))-(I65-I39))</f>
        <v>0</v>
      </c>
    </row>
    <row r="73" spans="1:19" x14ac:dyDescent="0.25">
      <c r="A73" s="3" t="s">
        <v>160</v>
      </c>
      <c r="I73" s="3">
        <f>COUNTA(I40:I64)</f>
        <v>25</v>
      </c>
    </row>
    <row r="74" spans="1:19" x14ac:dyDescent="0.25">
      <c r="A74" s="1" t="s">
        <v>106</v>
      </c>
      <c r="B74" s="63"/>
      <c r="C74" s="63"/>
      <c r="D74" s="63"/>
      <c r="E74" s="63"/>
      <c r="G74" s="63"/>
      <c r="H74" s="63"/>
      <c r="I74" s="86">
        <f>(SUM(B65:G65)/I65)</f>
        <v>1</v>
      </c>
    </row>
    <row r="75" spans="1:19" x14ac:dyDescent="0.25">
      <c r="A75" s="1" t="s">
        <v>107</v>
      </c>
      <c r="B75" s="63"/>
      <c r="C75" s="63"/>
      <c r="D75" s="63"/>
      <c r="E75" s="63"/>
      <c r="G75" s="63"/>
      <c r="H75" s="63"/>
      <c r="I75" s="86">
        <f>(H65/I65)</f>
        <v>0</v>
      </c>
    </row>
    <row r="76" spans="1:19" x14ac:dyDescent="0.25">
      <c r="A76" s="3" t="s">
        <v>108</v>
      </c>
      <c r="I76" s="3">
        <f>100%-(I74+I75)</f>
        <v>0</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21</vt:i4>
      </vt:variant>
      <vt:variant>
        <vt:lpstr>Charts</vt:lpstr>
      </vt:variant>
      <vt:variant>
        <vt:i4>1</vt:i4>
      </vt:variant>
      <vt:variant>
        <vt:lpstr>Named Ranges</vt:lpstr>
      </vt:variant>
      <vt:variant>
        <vt:i4>1</vt:i4>
      </vt:variant>
    </vt:vector>
  </HeadingPairs>
  <TitlesOfParts>
    <vt:vector size="23"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4% Withdrawals-No Rebalancing</vt:lpstr>
      <vt:lpstr>4% Withdrawals-Rebalanced</vt:lpstr>
      <vt:lpstr>4% Withdrawals-Annual Rebalance</vt:lpstr>
      <vt:lpstr>4% Withdrawals-Panic</vt:lpstr>
      <vt:lpstr>Chart Data</vt:lpstr>
      <vt:lpstr>Panic Chart</vt:lpstr>
      <vt:lpstr>Chart2</vt:lpstr>
      <vt:lpstr>Summary!Print_Area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2017-01-23T22:13:14Z</cp:lastPrinted>
  <dcterms:created xsi:type="dcterms:W3CDTF">2014-01-10T23:26:08Z</dcterms:created>
  <dcterms:modified xsi:type="dcterms:W3CDTF">2018-03-12T21:14:34Z</dcterms:modified>
</cp:coreProperties>
</file>