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chartsheets/sheet1.xml" ContentType="application/vnd.openxmlformats-officedocument.spreadsheetml.chart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P:\EDITDEPT\PUBS\JRNL\Jrnl2016\03_Mar 16\Rebalancing Spreadsheets\"/>
    </mc:Choice>
  </mc:AlternateContent>
  <bookViews>
    <workbookView xWindow="0" yWindow="48" windowWidth="20736" windowHeight="11700" tabRatio="892"/>
  </bookViews>
  <sheets>
    <sheet name="Instructions" sheetId="2" r:id="rId1"/>
    <sheet name="Notes" sheetId="3" r:id="rId2"/>
    <sheet name="Summary" sheetId="8" r:id="rId3"/>
    <sheet name="Non-Rebalanced Portfolio" sheetId="1" r:id="rId4"/>
    <sheet name="Rebalanced Portfolio" sheetId="4" r:id="rId5"/>
    <sheet name="Panic Portfolio" sheetId="7" r:id="rId6"/>
    <sheet name="4% Withdrawals-No Rebalancing" sheetId="9" r:id="rId7"/>
    <sheet name="4% Withdrawals-Rebalanced" sheetId="10" r:id="rId8"/>
    <sheet name="4% Withdrawals-Panic" sheetId="12" r:id="rId9"/>
    <sheet name="Chart2" sheetId="16" r:id="rId10"/>
    <sheet name="Chart Data" sheetId="14" r:id="rId11"/>
    <sheet name="Panic Chart" sheetId="18" r:id="rId12"/>
  </sheets>
  <definedNames>
    <definedName name="_xlnm.Print_Area" localSheetId="2">Summary!$A$1:$D$29</definedName>
  </definedNames>
  <calcPr calcId="152511"/>
  <extLst>
    <ext xmlns:mx="http://schemas.microsoft.com/office/mac/excel/2008/main" uri="http://schemas.microsoft.com/office/mac/excel/2008/main">
      <mx:ArchID Flags="2"/>
    </ext>
  </extLst>
</workbook>
</file>

<file path=xl/calcChain.xml><?xml version="1.0" encoding="utf-8"?>
<calcChain xmlns="http://schemas.openxmlformats.org/spreadsheetml/2006/main">
  <c r="N24" i="8" l="1"/>
  <c r="N23" i="8"/>
  <c r="AW64" i="4"/>
  <c r="D29" i="8" l="1"/>
  <c r="C29" i="8"/>
  <c r="B29" i="8"/>
  <c r="D28" i="8"/>
  <c r="C28" i="8"/>
  <c r="B28" i="8"/>
  <c r="D12" i="8"/>
  <c r="C12" i="8"/>
  <c r="B12" i="8"/>
  <c r="D13" i="8"/>
  <c r="C13" i="8"/>
  <c r="B13" i="8"/>
  <c r="I73" i="7" l="1"/>
  <c r="I73" i="4"/>
  <c r="J62" i="4"/>
  <c r="J63" i="4"/>
  <c r="J64" i="4"/>
  <c r="J65" i="4"/>
  <c r="I73" i="1"/>
  <c r="J65" i="1"/>
  <c r="J64" i="1"/>
  <c r="J63" i="1"/>
  <c r="J62" i="1"/>
  <c r="N9" i="8"/>
  <c r="A29" i="14" l="1"/>
  <c r="B29" i="14"/>
  <c r="C29" i="14"/>
  <c r="D29" i="14"/>
  <c r="A30" i="14"/>
  <c r="O31" i="12"/>
  <c r="N31" i="12"/>
  <c r="H31" i="12"/>
  <c r="G31" i="12"/>
  <c r="E31" i="12"/>
  <c r="D31" i="12"/>
  <c r="B31" i="12"/>
  <c r="A31" i="12"/>
  <c r="A65" i="12" s="1"/>
  <c r="N65" i="12" s="1"/>
  <c r="O31" i="10"/>
  <c r="N31" i="10"/>
  <c r="H31" i="10"/>
  <c r="G31" i="10"/>
  <c r="E31" i="10"/>
  <c r="D31" i="10"/>
  <c r="B31" i="10"/>
  <c r="A31" i="10"/>
  <c r="A65" i="10" s="1"/>
  <c r="H31" i="9"/>
  <c r="G31" i="9"/>
  <c r="E31" i="9"/>
  <c r="D31" i="9"/>
  <c r="B31" i="9"/>
  <c r="A31" i="9"/>
  <c r="A65" i="9" s="1"/>
  <c r="AF65" i="9" s="1"/>
  <c r="G66" i="7"/>
  <c r="E66" i="7"/>
  <c r="D66" i="7"/>
  <c r="B66" i="7"/>
  <c r="AD65" i="7"/>
  <c r="AB65" i="7"/>
  <c r="G65" i="7"/>
  <c r="AG65" i="7" s="1"/>
  <c r="E65" i="7"/>
  <c r="D65" i="7"/>
  <c r="B65" i="7"/>
  <c r="A65" i="7"/>
  <c r="O65" i="7" s="1"/>
  <c r="AA65" i="7" s="1"/>
  <c r="H31" i="7"/>
  <c r="H65" i="7" s="1"/>
  <c r="AH65" i="7" s="1"/>
  <c r="H66" i="7" s="1"/>
  <c r="G31" i="7"/>
  <c r="E31" i="7"/>
  <c r="D31" i="7"/>
  <c r="B31" i="7"/>
  <c r="A31" i="7"/>
  <c r="G66" i="4"/>
  <c r="E66" i="4"/>
  <c r="D66" i="4"/>
  <c r="B66" i="4"/>
  <c r="AM65" i="4"/>
  <c r="AL65" i="4"/>
  <c r="O65" i="4"/>
  <c r="AB65" i="4" s="1"/>
  <c r="H65" i="4"/>
  <c r="G65" i="4"/>
  <c r="E65" i="4"/>
  <c r="D65" i="4"/>
  <c r="B65" i="4"/>
  <c r="A65" i="4"/>
  <c r="H31" i="4"/>
  <c r="G31" i="4"/>
  <c r="E31" i="4"/>
  <c r="D31" i="4"/>
  <c r="B31" i="4"/>
  <c r="A31" i="4"/>
  <c r="H66" i="1"/>
  <c r="G66" i="1"/>
  <c r="E66" i="1"/>
  <c r="D66" i="1"/>
  <c r="B66" i="1"/>
  <c r="H65" i="1"/>
  <c r="G65" i="1"/>
  <c r="E65" i="1"/>
  <c r="D65" i="1"/>
  <c r="B65" i="1"/>
  <c r="I65" i="1" s="1"/>
  <c r="C30" i="14" s="1"/>
  <c r="A65" i="1"/>
  <c r="O65" i="1" s="1"/>
  <c r="R65" i="10" l="1"/>
  <c r="AG65" i="10"/>
  <c r="AS65" i="10" s="1"/>
  <c r="BC65" i="10" s="1"/>
  <c r="I65" i="4"/>
  <c r="R65" i="12"/>
  <c r="AG65" i="12"/>
  <c r="BN65" i="12" s="1"/>
  <c r="AS65" i="12"/>
  <c r="N65" i="10"/>
  <c r="N65" i="9"/>
  <c r="R65" i="9"/>
  <c r="I65" i="7"/>
  <c r="U65" i="7"/>
  <c r="AE65" i="7"/>
  <c r="AI65" i="7" s="1"/>
  <c r="AJ65" i="7" s="1"/>
  <c r="V65" i="7"/>
  <c r="AH65" i="4"/>
  <c r="AC65" i="4"/>
  <c r="AT65" i="4"/>
  <c r="AU65" i="4" s="1"/>
  <c r="K65" i="4"/>
  <c r="L65" i="4" s="1"/>
  <c r="P65" i="4"/>
  <c r="AF65" i="4"/>
  <c r="V65" i="4"/>
  <c r="S65" i="4"/>
  <c r="AP65" i="4"/>
  <c r="U65" i="4"/>
  <c r="AR65" i="4"/>
  <c r="AS65" i="4"/>
  <c r="H66" i="4" s="1"/>
  <c r="AI65" i="4"/>
  <c r="R65" i="4"/>
  <c r="AO65" i="4"/>
  <c r="U65" i="1"/>
  <c r="K65" i="1"/>
  <c r="L65" i="1" s="1"/>
  <c r="R65" i="1"/>
  <c r="P65" i="1"/>
  <c r="S65" i="1"/>
  <c r="V65" i="1"/>
  <c r="A29" i="12"/>
  <c r="A63" i="12" s="1"/>
  <c r="B29" i="12"/>
  <c r="D29" i="12"/>
  <c r="E29" i="12"/>
  <c r="G29" i="12"/>
  <c r="H29" i="12"/>
  <c r="N29" i="12"/>
  <c r="O29" i="12"/>
  <c r="A30" i="12"/>
  <c r="A64" i="12" s="1"/>
  <c r="B30" i="12"/>
  <c r="D30" i="12"/>
  <c r="E30" i="12"/>
  <c r="G30" i="12"/>
  <c r="H30" i="12"/>
  <c r="N30" i="12"/>
  <c r="O30" i="12"/>
  <c r="N29" i="10"/>
  <c r="O29" i="10"/>
  <c r="N30" i="10"/>
  <c r="O30" i="10"/>
  <c r="A29" i="10"/>
  <c r="A63" i="10" s="1"/>
  <c r="B29" i="10"/>
  <c r="D29" i="10"/>
  <c r="E29" i="10"/>
  <c r="G29" i="10"/>
  <c r="H29" i="10"/>
  <c r="A30" i="10"/>
  <c r="A64" i="10" s="1"/>
  <c r="N64" i="10" s="1"/>
  <c r="B30" i="10"/>
  <c r="D30" i="10"/>
  <c r="E30" i="10"/>
  <c r="G30" i="10"/>
  <c r="H30" i="10"/>
  <c r="A30" i="9"/>
  <c r="A64" i="9" s="1"/>
  <c r="B30" i="9"/>
  <c r="D30" i="9"/>
  <c r="E30" i="9"/>
  <c r="G30" i="9"/>
  <c r="H30" i="9"/>
  <c r="A5" i="7"/>
  <c r="A6" i="7"/>
  <c r="A7" i="7"/>
  <c r="A8" i="7"/>
  <c r="A9" i="7"/>
  <c r="A10" i="7"/>
  <c r="A11" i="7"/>
  <c r="A12" i="7"/>
  <c r="A13" i="7"/>
  <c r="A14" i="7"/>
  <c r="A15" i="7"/>
  <c r="A16" i="7"/>
  <c r="A17" i="7"/>
  <c r="A18" i="7"/>
  <c r="A19" i="7"/>
  <c r="A20" i="7"/>
  <c r="A21" i="7"/>
  <c r="A22" i="7"/>
  <c r="A23" i="7"/>
  <c r="A24" i="7"/>
  <c r="A25" i="7"/>
  <c r="A26" i="7"/>
  <c r="A27" i="7"/>
  <c r="A28" i="7"/>
  <c r="A29" i="7"/>
  <c r="A63" i="7" s="1"/>
  <c r="O63" i="7" s="1"/>
  <c r="AA63" i="7" s="1"/>
  <c r="A30" i="7"/>
  <c r="A64" i="7" s="1"/>
  <c r="O64" i="7" s="1"/>
  <c r="AA64" i="7" s="1"/>
  <c r="B30" i="7"/>
  <c r="D30" i="7"/>
  <c r="E30" i="7"/>
  <c r="G30" i="7"/>
  <c r="H30" i="7"/>
  <c r="A30" i="4"/>
  <c r="A64" i="4" s="1"/>
  <c r="B30" i="4"/>
  <c r="D30" i="4"/>
  <c r="E30" i="4"/>
  <c r="G30" i="4"/>
  <c r="H30" i="4"/>
  <c r="A63" i="1"/>
  <c r="O63" i="1" s="1"/>
  <c r="A64" i="1"/>
  <c r="D30" i="14" l="1"/>
  <c r="B30" i="14"/>
  <c r="AE65" i="4"/>
  <c r="AJ65" i="4"/>
  <c r="J65" i="7"/>
  <c r="K65" i="7" s="1"/>
  <c r="L65" i="7" s="1"/>
  <c r="I68" i="7" s="1"/>
  <c r="R65" i="7"/>
  <c r="P65" i="7"/>
  <c r="S65" i="7"/>
  <c r="X65" i="4"/>
  <c r="W65" i="4"/>
  <c r="Y65" i="4" s="1"/>
  <c r="W65" i="1"/>
  <c r="X65" i="1"/>
  <c r="AL64" i="4"/>
  <c r="O64" i="4"/>
  <c r="AB64" i="4" s="1"/>
  <c r="N63" i="10"/>
  <c r="R63" i="10"/>
  <c r="AS64" i="12"/>
  <c r="N64" i="12"/>
  <c r="AG64" i="12"/>
  <c r="R64" i="12"/>
  <c r="AS63" i="12"/>
  <c r="AG63" i="12"/>
  <c r="R63" i="12"/>
  <c r="N63" i="12"/>
  <c r="N64" i="9"/>
  <c r="R64" i="9"/>
  <c r="AF64" i="9"/>
  <c r="AG64" i="10"/>
  <c r="AS64" i="10" s="1"/>
  <c r="BC64" i="10" s="1"/>
  <c r="R64" i="10"/>
  <c r="AG63" i="10"/>
  <c r="AS63" i="10" s="1"/>
  <c r="BC63" i="10" s="1"/>
  <c r="B1" i="14"/>
  <c r="C1" i="14"/>
  <c r="D1" i="14"/>
  <c r="X65" i="7" l="1"/>
  <c r="W65" i="7"/>
  <c r="Y65" i="1"/>
  <c r="A29" i="8"/>
  <c r="A30" i="8"/>
  <c r="A28" i="8"/>
  <c r="B4" i="9"/>
  <c r="B38" i="9" s="1"/>
  <c r="C4" i="9"/>
  <c r="C38" i="9" s="1"/>
  <c r="F4" i="9"/>
  <c r="F38" i="9" s="1"/>
  <c r="H4" i="9"/>
  <c r="H38" i="9" s="1"/>
  <c r="I37" i="9"/>
  <c r="Z37" i="9" s="1"/>
  <c r="AN37" i="9" s="1"/>
  <c r="B5" i="9"/>
  <c r="C5" i="9"/>
  <c r="F5" i="9"/>
  <c r="H5" i="9"/>
  <c r="B6" i="9"/>
  <c r="C6" i="9"/>
  <c r="F6" i="9"/>
  <c r="H6" i="9"/>
  <c r="B7" i="9"/>
  <c r="C7" i="9"/>
  <c r="F7" i="9"/>
  <c r="H7" i="9"/>
  <c r="B8" i="9"/>
  <c r="C8" i="9"/>
  <c r="F8" i="9"/>
  <c r="H8" i="9"/>
  <c r="B9" i="9"/>
  <c r="C9" i="9"/>
  <c r="F9" i="9"/>
  <c r="H9" i="9"/>
  <c r="B10" i="9"/>
  <c r="C10" i="9"/>
  <c r="F10" i="9"/>
  <c r="H10" i="9"/>
  <c r="B11" i="9"/>
  <c r="C11" i="9"/>
  <c r="F11" i="9"/>
  <c r="H11" i="9"/>
  <c r="B12" i="9"/>
  <c r="C12" i="9"/>
  <c r="F12" i="9"/>
  <c r="H12" i="9"/>
  <c r="B13" i="9"/>
  <c r="C13" i="9"/>
  <c r="G13" i="9"/>
  <c r="H13" i="9"/>
  <c r="B14" i="9"/>
  <c r="C14" i="9"/>
  <c r="G14" i="9"/>
  <c r="H14" i="9"/>
  <c r="B15" i="9"/>
  <c r="D15" i="9"/>
  <c r="E15" i="9"/>
  <c r="G15" i="9"/>
  <c r="H15" i="9"/>
  <c r="B16" i="9"/>
  <c r="D16" i="9"/>
  <c r="E16" i="9"/>
  <c r="G16" i="9"/>
  <c r="H16" i="9"/>
  <c r="B17" i="9"/>
  <c r="D17" i="9"/>
  <c r="E17" i="9"/>
  <c r="G17" i="9"/>
  <c r="H17" i="9"/>
  <c r="B18" i="9"/>
  <c r="D18" i="9"/>
  <c r="E18" i="9"/>
  <c r="G18" i="9"/>
  <c r="H18" i="9"/>
  <c r="B19" i="9"/>
  <c r="D19" i="9"/>
  <c r="E19" i="9"/>
  <c r="G19" i="9"/>
  <c r="H19" i="9"/>
  <c r="B20" i="9"/>
  <c r="D20" i="9"/>
  <c r="E20" i="9"/>
  <c r="G20" i="9"/>
  <c r="H20" i="9"/>
  <c r="B21" i="9"/>
  <c r="D21" i="9"/>
  <c r="E21" i="9"/>
  <c r="G21" i="9"/>
  <c r="H21" i="9"/>
  <c r="B22" i="9"/>
  <c r="D22" i="9"/>
  <c r="E22" i="9"/>
  <c r="G22" i="9"/>
  <c r="H22" i="9"/>
  <c r="B23" i="9"/>
  <c r="D23" i="9"/>
  <c r="E23" i="9"/>
  <c r="G23" i="9"/>
  <c r="H23" i="9"/>
  <c r="B24" i="9"/>
  <c r="D24" i="9"/>
  <c r="E24" i="9"/>
  <c r="G24" i="9"/>
  <c r="H24" i="9"/>
  <c r="B25" i="9"/>
  <c r="D25" i="9"/>
  <c r="E25" i="9"/>
  <c r="G25" i="9"/>
  <c r="H25" i="9"/>
  <c r="B26" i="9"/>
  <c r="D26" i="9"/>
  <c r="E26" i="9"/>
  <c r="G26" i="9"/>
  <c r="H26" i="9"/>
  <c r="B27" i="9"/>
  <c r="D27" i="9"/>
  <c r="E27" i="9"/>
  <c r="G27" i="9"/>
  <c r="H27" i="9"/>
  <c r="B28" i="9"/>
  <c r="D28" i="9"/>
  <c r="E28" i="9"/>
  <c r="G28" i="9"/>
  <c r="H28" i="9"/>
  <c r="B29" i="9"/>
  <c r="D29" i="9"/>
  <c r="E29" i="9"/>
  <c r="G29" i="9"/>
  <c r="H29" i="9"/>
  <c r="A5" i="9"/>
  <c r="A39" i="9" s="1"/>
  <c r="A6" i="9"/>
  <c r="A40" i="9" s="1"/>
  <c r="A7" i="9"/>
  <c r="A41" i="9" s="1"/>
  <c r="R41" i="9" s="1"/>
  <c r="A8" i="9"/>
  <c r="A42" i="9" s="1"/>
  <c r="A9" i="9"/>
  <c r="A43" i="9" s="1"/>
  <c r="N43" i="9" s="1"/>
  <c r="A10" i="9"/>
  <c r="A44" i="9" s="1"/>
  <c r="A11" i="9"/>
  <c r="A45" i="9" s="1"/>
  <c r="R45" i="9" s="1"/>
  <c r="A12" i="9"/>
  <c r="A46" i="9" s="1"/>
  <c r="R46" i="9" s="1"/>
  <c r="A13" i="9"/>
  <c r="A47" i="9" s="1"/>
  <c r="A14" i="9"/>
  <c r="A48" i="9" s="1"/>
  <c r="A15" i="9"/>
  <c r="A49" i="9" s="1"/>
  <c r="AF49" i="9" s="1"/>
  <c r="A16" i="9"/>
  <c r="A50" i="9" s="1"/>
  <c r="N50" i="9" s="1"/>
  <c r="A17" i="9"/>
  <c r="A51" i="9" s="1"/>
  <c r="A18" i="9"/>
  <c r="A52" i="9" s="1"/>
  <c r="A19" i="9"/>
  <c r="A53" i="9" s="1"/>
  <c r="AF53" i="9" s="1"/>
  <c r="A20" i="9"/>
  <c r="A54" i="9" s="1"/>
  <c r="N54" i="9" s="1"/>
  <c r="A21" i="9"/>
  <c r="A55" i="9" s="1"/>
  <c r="AF55" i="9" s="1"/>
  <c r="A22" i="9"/>
  <c r="A56" i="9" s="1"/>
  <c r="A23" i="9"/>
  <c r="A57" i="9" s="1"/>
  <c r="R57" i="9" s="1"/>
  <c r="A24" i="9"/>
  <c r="A58" i="9" s="1"/>
  <c r="N58" i="9" s="1"/>
  <c r="A25" i="9"/>
  <c r="A59" i="9" s="1"/>
  <c r="A26" i="9"/>
  <c r="A60" i="9" s="1"/>
  <c r="R60" i="9" s="1"/>
  <c r="A27" i="9"/>
  <c r="A61" i="9" s="1"/>
  <c r="A28" i="9"/>
  <c r="A62" i="9" s="1"/>
  <c r="A29" i="9"/>
  <c r="A63" i="9" s="1"/>
  <c r="A4" i="9"/>
  <c r="A38" i="9" s="1"/>
  <c r="C2" i="9"/>
  <c r="C35" i="9" s="1"/>
  <c r="D2" i="9"/>
  <c r="D35" i="9" s="1"/>
  <c r="E2" i="9"/>
  <c r="E35" i="9" s="1"/>
  <c r="F2" i="9"/>
  <c r="F35" i="9" s="1"/>
  <c r="G2" i="9"/>
  <c r="G35" i="9" s="1"/>
  <c r="H2" i="9"/>
  <c r="H35" i="9" s="1"/>
  <c r="AM35" i="9" s="1"/>
  <c r="C3" i="9"/>
  <c r="C36" i="9" s="1"/>
  <c r="D3" i="9"/>
  <c r="D36" i="9" s="1"/>
  <c r="E3" i="9"/>
  <c r="E36" i="9" s="1"/>
  <c r="V36" i="9" s="1"/>
  <c r="F3" i="9"/>
  <c r="F36" i="9" s="1"/>
  <c r="AK36" i="9" s="1"/>
  <c r="G3" i="9"/>
  <c r="G36" i="9" s="1"/>
  <c r="H3" i="9"/>
  <c r="H36" i="9" s="1"/>
  <c r="B2" i="9"/>
  <c r="B35" i="9" s="1"/>
  <c r="AG35" i="9" s="1"/>
  <c r="B3" i="9"/>
  <c r="B36" i="9" s="1"/>
  <c r="AG36" i="9" s="1"/>
  <c r="A3" i="9"/>
  <c r="Y37" i="9"/>
  <c r="W37" i="9"/>
  <c r="T37" i="9"/>
  <c r="S37" i="9"/>
  <c r="U37" i="9"/>
  <c r="V37" i="9"/>
  <c r="X37" i="9"/>
  <c r="R37" i="9"/>
  <c r="R36" i="9"/>
  <c r="Z36" i="9"/>
  <c r="O3" i="12"/>
  <c r="N3" i="12"/>
  <c r="R37" i="12"/>
  <c r="AS37" i="12"/>
  <c r="B4" i="12"/>
  <c r="B38" i="12" s="1"/>
  <c r="C4" i="12"/>
  <c r="C38" i="12" s="1"/>
  <c r="F4" i="12"/>
  <c r="F38" i="12" s="1"/>
  <c r="H4" i="12"/>
  <c r="H38" i="12" s="1"/>
  <c r="I37" i="12"/>
  <c r="Z37" i="12"/>
  <c r="AO37" i="12" s="1"/>
  <c r="BV37" i="12" s="1"/>
  <c r="BA37" i="12" s="1"/>
  <c r="B5" i="12"/>
  <c r="O5" i="12"/>
  <c r="C5" i="12"/>
  <c r="F5" i="12"/>
  <c r="H5" i="12"/>
  <c r="B6" i="12"/>
  <c r="O6" i="12"/>
  <c r="C6" i="12"/>
  <c r="F6" i="12"/>
  <c r="H6" i="12"/>
  <c r="B7" i="12"/>
  <c r="O7" i="12"/>
  <c r="C7" i="12"/>
  <c r="F7" i="12"/>
  <c r="H7" i="12"/>
  <c r="B8" i="12"/>
  <c r="O8" i="12"/>
  <c r="C8" i="12"/>
  <c r="F8" i="12"/>
  <c r="H8" i="12"/>
  <c r="B9" i="12"/>
  <c r="O9" i="12"/>
  <c r="C9" i="12"/>
  <c r="F9" i="12"/>
  <c r="H9" i="12"/>
  <c r="B10" i="12"/>
  <c r="O10" i="12"/>
  <c r="C10" i="12"/>
  <c r="F10" i="12"/>
  <c r="H10" i="12"/>
  <c r="B11" i="12"/>
  <c r="O11" i="12"/>
  <c r="C11" i="12"/>
  <c r="F11" i="12"/>
  <c r="H11" i="12"/>
  <c r="B12" i="12"/>
  <c r="O12" i="12"/>
  <c r="C12" i="12"/>
  <c r="F12" i="12"/>
  <c r="H12" i="12"/>
  <c r="B13" i="12"/>
  <c r="O13" i="12"/>
  <c r="C13" i="12"/>
  <c r="G13" i="12"/>
  <c r="H13" i="12"/>
  <c r="B14" i="12"/>
  <c r="O14" i="12"/>
  <c r="C14" i="12"/>
  <c r="G14" i="12"/>
  <c r="H14" i="12"/>
  <c r="B15" i="12"/>
  <c r="O15" i="12"/>
  <c r="D15" i="12"/>
  <c r="E15" i="12"/>
  <c r="G15" i="12"/>
  <c r="H15" i="12"/>
  <c r="B16" i="12"/>
  <c r="O16" i="12"/>
  <c r="D16" i="12"/>
  <c r="E16" i="12"/>
  <c r="G16" i="12"/>
  <c r="H16" i="12"/>
  <c r="B17" i="12"/>
  <c r="O17" i="12"/>
  <c r="D17" i="12"/>
  <c r="E17" i="12"/>
  <c r="G17" i="12"/>
  <c r="H17" i="12"/>
  <c r="B18" i="12"/>
  <c r="O18" i="12"/>
  <c r="D18" i="12"/>
  <c r="E18" i="12"/>
  <c r="G18" i="12"/>
  <c r="H18" i="12"/>
  <c r="H19" i="12"/>
  <c r="O19" i="12"/>
  <c r="S37" i="12"/>
  <c r="B20" i="12"/>
  <c r="O20" i="12"/>
  <c r="BQ37" i="12"/>
  <c r="AV37" i="12" s="1"/>
  <c r="D20" i="12"/>
  <c r="BR37" i="12"/>
  <c r="AW37" i="12" s="1"/>
  <c r="E20" i="12"/>
  <c r="BT37" i="12"/>
  <c r="AY37" i="12" s="1"/>
  <c r="G20" i="12"/>
  <c r="Y37" i="12"/>
  <c r="H20" i="12"/>
  <c r="B21" i="12"/>
  <c r="O21" i="12"/>
  <c r="D21" i="12"/>
  <c r="E21" i="12"/>
  <c r="G21" i="12"/>
  <c r="H21" i="12"/>
  <c r="B22" i="12"/>
  <c r="O22" i="12"/>
  <c r="D22" i="12"/>
  <c r="E22" i="12"/>
  <c r="G22" i="12"/>
  <c r="H22" i="12"/>
  <c r="B23" i="12"/>
  <c r="O23" i="12"/>
  <c r="D23" i="12"/>
  <c r="E23" i="12"/>
  <c r="G23" i="12"/>
  <c r="H23" i="12"/>
  <c r="B24" i="12"/>
  <c r="O24" i="12"/>
  <c r="D24" i="12"/>
  <c r="E24" i="12"/>
  <c r="G24" i="12"/>
  <c r="H24" i="12"/>
  <c r="H25" i="12"/>
  <c r="O25" i="12"/>
  <c r="B26" i="12"/>
  <c r="O26" i="12"/>
  <c r="D26" i="12"/>
  <c r="E26" i="12"/>
  <c r="G26" i="12"/>
  <c r="H26" i="12"/>
  <c r="B27" i="12"/>
  <c r="O27" i="12"/>
  <c r="D27" i="12"/>
  <c r="E27" i="12"/>
  <c r="G27" i="12"/>
  <c r="H27" i="12"/>
  <c r="B28" i="12"/>
  <c r="O28" i="12"/>
  <c r="D28" i="12"/>
  <c r="E28" i="12"/>
  <c r="G28" i="12"/>
  <c r="H28" i="12"/>
  <c r="BN37" i="12"/>
  <c r="X37" i="12"/>
  <c r="W37" i="12"/>
  <c r="AL37" i="12" s="1"/>
  <c r="BS37" i="12" s="1"/>
  <c r="AX37" i="12" s="1"/>
  <c r="V37" i="12"/>
  <c r="U37" i="12"/>
  <c r="T37" i="12"/>
  <c r="BV36" i="12"/>
  <c r="BA36" i="12"/>
  <c r="BN36" i="12"/>
  <c r="Z36" i="12"/>
  <c r="R36" i="12"/>
  <c r="A28" i="12"/>
  <c r="A62" i="12" s="1"/>
  <c r="A27" i="12"/>
  <c r="A61" i="12" s="1"/>
  <c r="N28" i="12"/>
  <c r="A26" i="12"/>
  <c r="A60" i="12" s="1"/>
  <c r="N27" i="12"/>
  <c r="G25" i="12"/>
  <c r="G59" i="12" s="1"/>
  <c r="E25" i="12"/>
  <c r="E59" i="12" s="1"/>
  <c r="D25" i="12"/>
  <c r="D59" i="12" s="1"/>
  <c r="B25" i="12"/>
  <c r="B59" i="12" s="1"/>
  <c r="A25" i="12"/>
  <c r="A59" i="12" s="1"/>
  <c r="AS59" i="12" s="1"/>
  <c r="N26" i="12"/>
  <c r="A24" i="12"/>
  <c r="A58" i="12" s="1"/>
  <c r="AS58" i="12" s="1"/>
  <c r="N25" i="12"/>
  <c r="A23" i="12"/>
  <c r="A57" i="12" s="1"/>
  <c r="N24" i="12"/>
  <c r="A22" i="12"/>
  <c r="A56" i="12" s="1"/>
  <c r="AS56" i="12" s="1"/>
  <c r="N23" i="12"/>
  <c r="A21" i="12"/>
  <c r="A55" i="12" s="1"/>
  <c r="AS55" i="12" s="1"/>
  <c r="N22" i="12"/>
  <c r="A20" i="12"/>
  <c r="A54" i="12" s="1"/>
  <c r="AS54" i="12" s="1"/>
  <c r="N21" i="12"/>
  <c r="G19" i="12"/>
  <c r="G53" i="12" s="1"/>
  <c r="E19" i="12"/>
  <c r="E53" i="12" s="1"/>
  <c r="D19" i="12"/>
  <c r="D53" i="12" s="1"/>
  <c r="B19" i="12"/>
  <c r="B53" i="12" s="1"/>
  <c r="A19" i="12"/>
  <c r="A53" i="12" s="1"/>
  <c r="AS53" i="12" s="1"/>
  <c r="N20" i="12"/>
  <c r="A18" i="12"/>
  <c r="A52" i="12" s="1"/>
  <c r="N19" i="12"/>
  <c r="A17" i="12"/>
  <c r="A51" i="12" s="1"/>
  <c r="AS51" i="12" s="1"/>
  <c r="N18" i="12"/>
  <c r="A16" i="12"/>
  <c r="A50" i="12" s="1"/>
  <c r="AS50" i="12" s="1"/>
  <c r="N17" i="12"/>
  <c r="A15" i="12"/>
  <c r="A49" i="12" s="1"/>
  <c r="AS49" i="12" s="1"/>
  <c r="N16" i="12"/>
  <c r="A14" i="12"/>
  <c r="A48" i="12" s="1"/>
  <c r="AS48" i="12" s="1"/>
  <c r="N15" i="12"/>
  <c r="A13" i="12"/>
  <c r="A47" i="12" s="1"/>
  <c r="AS47" i="12" s="1"/>
  <c r="N14" i="12"/>
  <c r="A12" i="12"/>
  <c r="A46" i="12" s="1"/>
  <c r="N13" i="12"/>
  <c r="A11" i="12"/>
  <c r="A45" i="12" s="1"/>
  <c r="AS45" i="12" s="1"/>
  <c r="N12" i="12"/>
  <c r="A10" i="12"/>
  <c r="A44" i="12" s="1"/>
  <c r="AS44" i="12" s="1"/>
  <c r="N11" i="12"/>
  <c r="A9" i="12"/>
  <c r="A43" i="12" s="1"/>
  <c r="AS43" i="12" s="1"/>
  <c r="N10" i="12"/>
  <c r="A8" i="12"/>
  <c r="A42" i="12" s="1"/>
  <c r="AS42" i="12" s="1"/>
  <c r="N9" i="12"/>
  <c r="A7" i="12"/>
  <c r="A41" i="12" s="1"/>
  <c r="AS41" i="12" s="1"/>
  <c r="N8" i="12"/>
  <c r="A6" i="12"/>
  <c r="A40" i="12" s="1"/>
  <c r="AS40" i="12" s="1"/>
  <c r="N7" i="12"/>
  <c r="A5" i="12"/>
  <c r="A39" i="12" s="1"/>
  <c r="AS39" i="12" s="1"/>
  <c r="N6" i="12"/>
  <c r="A4" i="12"/>
  <c r="A38" i="12" s="1"/>
  <c r="AS38" i="12" s="1"/>
  <c r="N5" i="12"/>
  <c r="H3" i="12"/>
  <c r="H36" i="12" s="1"/>
  <c r="G3" i="12"/>
  <c r="G36" i="12" s="1"/>
  <c r="F3" i="12"/>
  <c r="F36" i="12" s="1"/>
  <c r="E3" i="12"/>
  <c r="E36" i="12" s="1"/>
  <c r="D3" i="12"/>
  <c r="D36" i="12" s="1"/>
  <c r="AJ36" i="12" s="1"/>
  <c r="BQ36" i="12" s="1"/>
  <c r="AV36" i="12" s="1"/>
  <c r="C3" i="12"/>
  <c r="C36" i="12" s="1"/>
  <c r="B3" i="12"/>
  <c r="B36" i="12" s="1"/>
  <c r="A3" i="12"/>
  <c r="O4" i="12"/>
  <c r="N4" i="12"/>
  <c r="H2" i="12"/>
  <c r="H35" i="12" s="1"/>
  <c r="G2" i="12"/>
  <c r="G35" i="12" s="1"/>
  <c r="AM35" i="12" s="1"/>
  <c r="BT35" i="12" s="1"/>
  <c r="AY35" i="12" s="1"/>
  <c r="F2" i="12"/>
  <c r="F35" i="12" s="1"/>
  <c r="E2" i="12"/>
  <c r="E35" i="12" s="1"/>
  <c r="D2" i="12"/>
  <c r="D35" i="12" s="1"/>
  <c r="C2" i="12"/>
  <c r="C35" i="12" s="1"/>
  <c r="AI35" i="12" s="1"/>
  <c r="BP35" i="12" s="1"/>
  <c r="AU35" i="12" s="1"/>
  <c r="B2" i="12"/>
  <c r="B35" i="12" s="1"/>
  <c r="B4" i="10"/>
  <c r="B38" i="10" s="1"/>
  <c r="C4" i="10"/>
  <c r="C38" i="10" s="1"/>
  <c r="F4" i="10"/>
  <c r="F38" i="10" s="1"/>
  <c r="H4" i="10"/>
  <c r="H38" i="10" s="1"/>
  <c r="B5" i="10"/>
  <c r="O5" i="10"/>
  <c r="B6" i="10"/>
  <c r="O6" i="10"/>
  <c r="B7" i="10"/>
  <c r="O7" i="10"/>
  <c r="B8" i="10"/>
  <c r="O8" i="10"/>
  <c r="C5" i="10"/>
  <c r="C6" i="10"/>
  <c r="C7" i="10"/>
  <c r="C8" i="10"/>
  <c r="F5" i="10"/>
  <c r="F6" i="10"/>
  <c r="F7" i="10"/>
  <c r="F8" i="10"/>
  <c r="H5" i="10"/>
  <c r="H6" i="10"/>
  <c r="H7" i="10"/>
  <c r="H8" i="10"/>
  <c r="S37" i="10"/>
  <c r="I37" i="10"/>
  <c r="Z37" i="10"/>
  <c r="AO37" i="10" s="1"/>
  <c r="BA37" i="10" s="1"/>
  <c r="BK37" i="10" s="1"/>
  <c r="B9" i="10"/>
  <c r="O9" i="10"/>
  <c r="B10" i="10"/>
  <c r="O10" i="10"/>
  <c r="B11" i="10"/>
  <c r="O11" i="10"/>
  <c r="B12" i="10"/>
  <c r="O12" i="10"/>
  <c r="T37" i="10"/>
  <c r="C9" i="10"/>
  <c r="C10" i="10"/>
  <c r="C11" i="10"/>
  <c r="C12" i="10"/>
  <c r="W37" i="10"/>
  <c r="F9" i="10"/>
  <c r="F10" i="10"/>
  <c r="F11" i="10"/>
  <c r="F12" i="10"/>
  <c r="Y37" i="10"/>
  <c r="H9" i="10"/>
  <c r="H10" i="10"/>
  <c r="H11" i="10"/>
  <c r="H12" i="10"/>
  <c r="B13" i="10"/>
  <c r="O13" i="10"/>
  <c r="B14" i="10"/>
  <c r="O14" i="10"/>
  <c r="C13" i="10"/>
  <c r="C14" i="10"/>
  <c r="G13" i="10"/>
  <c r="G14" i="10"/>
  <c r="H13" i="10"/>
  <c r="H14" i="10"/>
  <c r="B15" i="10"/>
  <c r="O15" i="10"/>
  <c r="B16" i="10"/>
  <c r="O16" i="10"/>
  <c r="B17" i="10"/>
  <c r="O17" i="10"/>
  <c r="B18" i="10"/>
  <c r="O18" i="10"/>
  <c r="D15" i="10"/>
  <c r="D16" i="10"/>
  <c r="D17" i="10"/>
  <c r="D18" i="10"/>
  <c r="E15" i="10"/>
  <c r="E16" i="10"/>
  <c r="E17" i="10"/>
  <c r="E18" i="10"/>
  <c r="AY37" i="10"/>
  <c r="BI37" i="10" s="1"/>
  <c r="G15" i="10"/>
  <c r="G16" i="10"/>
  <c r="G17" i="10"/>
  <c r="G18" i="10"/>
  <c r="H15" i="10"/>
  <c r="H16" i="10"/>
  <c r="H17" i="10"/>
  <c r="H18" i="10"/>
  <c r="B19" i="10"/>
  <c r="O19" i="10"/>
  <c r="AV37" i="10"/>
  <c r="BF37" i="10" s="1"/>
  <c r="D19" i="10"/>
  <c r="AW37" i="10"/>
  <c r="BG37" i="10" s="1"/>
  <c r="E19" i="10"/>
  <c r="G19" i="10"/>
  <c r="H19" i="10"/>
  <c r="B20" i="10"/>
  <c r="O20" i="10"/>
  <c r="B21" i="10"/>
  <c r="O21" i="10"/>
  <c r="B22" i="10"/>
  <c r="O22" i="10"/>
  <c r="D20" i="10"/>
  <c r="D21" i="10"/>
  <c r="D22" i="10"/>
  <c r="E20" i="10"/>
  <c r="E21" i="10"/>
  <c r="E22" i="10"/>
  <c r="G20" i="10"/>
  <c r="G21" i="10"/>
  <c r="G22" i="10"/>
  <c r="H20" i="10"/>
  <c r="H21" i="10"/>
  <c r="H22" i="10"/>
  <c r="B23" i="10"/>
  <c r="O23" i="10"/>
  <c r="B24" i="10"/>
  <c r="O24" i="10"/>
  <c r="D23" i="10"/>
  <c r="D24" i="10"/>
  <c r="E23" i="10"/>
  <c r="E24" i="10"/>
  <c r="G23" i="10"/>
  <c r="G24" i="10"/>
  <c r="H23" i="10"/>
  <c r="H24" i="10"/>
  <c r="B25" i="10"/>
  <c r="O25" i="10"/>
  <c r="B26" i="10"/>
  <c r="O26" i="10"/>
  <c r="D25" i="10"/>
  <c r="D26" i="10"/>
  <c r="E25" i="10"/>
  <c r="E26" i="10"/>
  <c r="G25" i="10"/>
  <c r="G26" i="10"/>
  <c r="H25" i="10"/>
  <c r="H26" i="10"/>
  <c r="B27" i="10"/>
  <c r="O27" i="10"/>
  <c r="B28" i="10"/>
  <c r="O28" i="10"/>
  <c r="D27" i="10"/>
  <c r="D28" i="10"/>
  <c r="E27" i="10"/>
  <c r="E28" i="10"/>
  <c r="G27" i="10"/>
  <c r="G28" i="10"/>
  <c r="H27" i="10"/>
  <c r="H28" i="10"/>
  <c r="O3" i="10"/>
  <c r="N3" i="10"/>
  <c r="A5" i="10"/>
  <c r="A39" i="10" s="1"/>
  <c r="A6" i="10"/>
  <c r="A40" i="10" s="1"/>
  <c r="AG40" i="10" s="1"/>
  <c r="AS40" i="10" s="1"/>
  <c r="BC40" i="10" s="1"/>
  <c r="A7" i="10"/>
  <c r="A41" i="10" s="1"/>
  <c r="A8" i="10"/>
  <c r="A42" i="10" s="1"/>
  <c r="N42" i="10" s="1"/>
  <c r="A9" i="10"/>
  <c r="A43" i="10" s="1"/>
  <c r="A10" i="10"/>
  <c r="A44" i="10" s="1"/>
  <c r="AG44" i="10" s="1"/>
  <c r="AS44" i="10" s="1"/>
  <c r="BC44" i="10" s="1"/>
  <c r="A11" i="10"/>
  <c r="A45" i="10" s="1"/>
  <c r="A12" i="10"/>
  <c r="A46" i="10" s="1"/>
  <c r="N46" i="10" s="1"/>
  <c r="A13" i="10"/>
  <c r="A47" i="10" s="1"/>
  <c r="R47" i="10" s="1"/>
  <c r="A14" i="10"/>
  <c r="A48" i="10" s="1"/>
  <c r="A15" i="10"/>
  <c r="A49" i="10" s="1"/>
  <c r="R49" i="10" s="1"/>
  <c r="A16" i="10"/>
  <c r="A50" i="10" s="1"/>
  <c r="A17" i="10"/>
  <c r="A51" i="10" s="1"/>
  <c r="A18" i="10"/>
  <c r="A52" i="10" s="1"/>
  <c r="A19" i="10"/>
  <c r="A53" i="10" s="1"/>
  <c r="A20" i="10"/>
  <c r="A54" i="10" s="1"/>
  <c r="A21" i="10"/>
  <c r="A55" i="10" s="1"/>
  <c r="A22" i="10"/>
  <c r="A56" i="10" s="1"/>
  <c r="A23" i="10"/>
  <c r="A57" i="10" s="1"/>
  <c r="A24" i="10"/>
  <c r="A58" i="10" s="1"/>
  <c r="R58" i="10" s="1"/>
  <c r="A25" i="10"/>
  <c r="A59" i="10" s="1"/>
  <c r="A26" i="10"/>
  <c r="A60" i="10" s="1"/>
  <c r="A27" i="10"/>
  <c r="A61" i="10" s="1"/>
  <c r="A28" i="10"/>
  <c r="A62" i="10" s="1"/>
  <c r="A4" i="10"/>
  <c r="A38" i="10" s="1"/>
  <c r="H3" i="10"/>
  <c r="H36" i="10" s="1"/>
  <c r="AN36" i="10" s="1"/>
  <c r="AZ36" i="10" s="1"/>
  <c r="BJ36" i="10" s="1"/>
  <c r="G3" i="10"/>
  <c r="G36" i="10" s="1"/>
  <c r="AM36" i="10" s="1"/>
  <c r="AY36" i="10" s="1"/>
  <c r="BI36" i="10" s="1"/>
  <c r="F3" i="10"/>
  <c r="F36" i="10" s="1"/>
  <c r="AL36" i="10" s="1"/>
  <c r="AX36" i="10" s="1"/>
  <c r="BH36" i="10" s="1"/>
  <c r="E3" i="10"/>
  <c r="E36" i="10" s="1"/>
  <c r="D3" i="10"/>
  <c r="D36" i="10" s="1"/>
  <c r="AJ36" i="10" s="1"/>
  <c r="AV36" i="10" s="1"/>
  <c r="BF36" i="10" s="1"/>
  <c r="C3" i="10"/>
  <c r="C36" i="10" s="1"/>
  <c r="B3" i="10"/>
  <c r="B36" i="10" s="1"/>
  <c r="H2" i="10"/>
  <c r="H35" i="10" s="1"/>
  <c r="AN35" i="10" s="1"/>
  <c r="AZ35" i="10" s="1"/>
  <c r="BJ35" i="10" s="1"/>
  <c r="G2" i="10"/>
  <c r="G35" i="10" s="1"/>
  <c r="AM35" i="10" s="1"/>
  <c r="AY35" i="10" s="1"/>
  <c r="BI35" i="10" s="1"/>
  <c r="F2" i="10"/>
  <c r="F35" i="10" s="1"/>
  <c r="AL35" i="10" s="1"/>
  <c r="AX35" i="10" s="1"/>
  <c r="BH35" i="10" s="1"/>
  <c r="E2" i="10"/>
  <c r="E35" i="10" s="1"/>
  <c r="D2" i="10"/>
  <c r="D35" i="10" s="1"/>
  <c r="AJ35" i="10" s="1"/>
  <c r="AV35" i="10" s="1"/>
  <c r="BF35" i="10" s="1"/>
  <c r="C2" i="10"/>
  <c r="C35" i="10" s="1"/>
  <c r="B2" i="10"/>
  <c r="B35" i="10" s="1"/>
  <c r="A3" i="10"/>
  <c r="N5" i="10"/>
  <c r="N6" i="10"/>
  <c r="N7" i="10"/>
  <c r="N8" i="10"/>
  <c r="N9" i="10"/>
  <c r="N10" i="10"/>
  <c r="N11" i="10"/>
  <c r="N12" i="10"/>
  <c r="N13" i="10"/>
  <c r="N14" i="10"/>
  <c r="N15" i="10"/>
  <c r="N16" i="10"/>
  <c r="N17" i="10"/>
  <c r="N18" i="10"/>
  <c r="N19" i="10"/>
  <c r="N20" i="10"/>
  <c r="N21" i="10"/>
  <c r="N22" i="10"/>
  <c r="N23" i="10"/>
  <c r="N24" i="10"/>
  <c r="N25" i="10"/>
  <c r="N26" i="10"/>
  <c r="N27" i="10"/>
  <c r="N28" i="10"/>
  <c r="O4" i="10"/>
  <c r="N4" i="10"/>
  <c r="AS37" i="10"/>
  <c r="BC37" i="10" s="1"/>
  <c r="BA36" i="10"/>
  <c r="BK36" i="10" s="1"/>
  <c r="AS36" i="10"/>
  <c r="X37" i="10"/>
  <c r="V37" i="10"/>
  <c r="U37" i="10"/>
  <c r="R37" i="10"/>
  <c r="Z36" i="10"/>
  <c r="R36" i="10"/>
  <c r="B38" i="1"/>
  <c r="B39" i="1" s="1"/>
  <c r="C38" i="1"/>
  <c r="F38" i="1"/>
  <c r="F39" i="1" s="1"/>
  <c r="H38" i="1"/>
  <c r="I37" i="1"/>
  <c r="W37" i="1" s="1"/>
  <c r="A62" i="1"/>
  <c r="O62" i="1" s="1"/>
  <c r="O64" i="1"/>
  <c r="A57" i="1"/>
  <c r="O57" i="1" s="1"/>
  <c r="A58" i="1"/>
  <c r="O58" i="1" s="1"/>
  <c r="A59" i="1"/>
  <c r="O59" i="1" s="1"/>
  <c r="A60" i="1"/>
  <c r="O60" i="1" s="1"/>
  <c r="A61" i="1"/>
  <c r="O61" i="1" s="1"/>
  <c r="A39" i="1"/>
  <c r="O39" i="1" s="1"/>
  <c r="A40" i="1"/>
  <c r="O40" i="1" s="1"/>
  <c r="A41" i="1"/>
  <c r="O41" i="1" s="1"/>
  <c r="A42" i="1"/>
  <c r="O42" i="1" s="1"/>
  <c r="A43" i="1"/>
  <c r="O43" i="1" s="1"/>
  <c r="A44" i="1"/>
  <c r="O44" i="1" s="1"/>
  <c r="A45" i="1"/>
  <c r="O45" i="1" s="1"/>
  <c r="A46" i="1"/>
  <c r="O46" i="1" s="1"/>
  <c r="A47" i="1"/>
  <c r="O47" i="1" s="1"/>
  <c r="A48" i="1"/>
  <c r="O48" i="1" s="1"/>
  <c r="A49" i="1"/>
  <c r="O49" i="1" s="1"/>
  <c r="A50" i="1"/>
  <c r="O50" i="1" s="1"/>
  <c r="A51" i="1"/>
  <c r="O51" i="1" s="1"/>
  <c r="A52" i="1"/>
  <c r="O52" i="1" s="1"/>
  <c r="A53" i="1"/>
  <c r="O53" i="1" s="1"/>
  <c r="A54" i="1"/>
  <c r="O54" i="1" s="1"/>
  <c r="A55" i="1"/>
  <c r="O55" i="1" s="1"/>
  <c r="A56" i="1"/>
  <c r="O56" i="1" s="1"/>
  <c r="A38" i="1"/>
  <c r="O38" i="1" s="1"/>
  <c r="H36" i="1"/>
  <c r="V36" i="1" s="1"/>
  <c r="G36" i="1"/>
  <c r="U36" i="1" s="1"/>
  <c r="F36" i="1"/>
  <c r="T36" i="1" s="1"/>
  <c r="E36" i="1"/>
  <c r="S36" i="1" s="1"/>
  <c r="D36" i="1"/>
  <c r="R36" i="1" s="1"/>
  <c r="C36" i="1"/>
  <c r="Q36" i="1" s="1"/>
  <c r="H35" i="1"/>
  <c r="V35" i="1" s="1"/>
  <c r="G35" i="1"/>
  <c r="U35" i="1" s="1"/>
  <c r="F35" i="1"/>
  <c r="T35" i="1" s="1"/>
  <c r="E35" i="1"/>
  <c r="S35" i="1" s="1"/>
  <c r="D35" i="1"/>
  <c r="R35" i="1" s="1"/>
  <c r="C35" i="1"/>
  <c r="Q35" i="1" s="1"/>
  <c r="B36" i="1"/>
  <c r="P36" i="1" s="1"/>
  <c r="B35" i="1"/>
  <c r="P35" i="1" s="1"/>
  <c r="A22" i="3"/>
  <c r="B25" i="7"/>
  <c r="B59" i="7" s="1"/>
  <c r="D25" i="7"/>
  <c r="D59" i="7" s="1"/>
  <c r="E25" i="7"/>
  <c r="E59" i="7" s="1"/>
  <c r="G25" i="7"/>
  <c r="G59" i="7" s="1"/>
  <c r="B19" i="7"/>
  <c r="B53" i="7" s="1"/>
  <c r="D19" i="7"/>
  <c r="D53" i="7" s="1"/>
  <c r="E19" i="7"/>
  <c r="E53" i="7" s="1"/>
  <c r="G19" i="7"/>
  <c r="G53" i="7" s="1"/>
  <c r="B37" i="7"/>
  <c r="AB37" i="7" s="1"/>
  <c r="B4" i="7"/>
  <c r="B5" i="7"/>
  <c r="B6" i="7"/>
  <c r="B7" i="7"/>
  <c r="B8" i="7"/>
  <c r="B9" i="7"/>
  <c r="B10" i="7"/>
  <c r="B11" i="7"/>
  <c r="B12" i="7"/>
  <c r="B13" i="7"/>
  <c r="B14" i="7"/>
  <c r="B15" i="7"/>
  <c r="B16" i="7"/>
  <c r="B17" i="7"/>
  <c r="B18" i="7"/>
  <c r="C37" i="7"/>
  <c r="AC37" i="7" s="1"/>
  <c r="C4" i="7"/>
  <c r="C5" i="7"/>
  <c r="C6" i="7"/>
  <c r="C7" i="7"/>
  <c r="C8" i="7"/>
  <c r="C9" i="7"/>
  <c r="C10" i="7"/>
  <c r="C11" i="7"/>
  <c r="C12" i="7"/>
  <c r="C13" i="7"/>
  <c r="D15" i="7"/>
  <c r="D16" i="7"/>
  <c r="D17" i="7"/>
  <c r="D18" i="7"/>
  <c r="E15" i="7"/>
  <c r="E16" i="7"/>
  <c r="E17" i="7"/>
  <c r="E18" i="7"/>
  <c r="F37" i="7"/>
  <c r="AF37" i="7" s="1"/>
  <c r="F4" i="7"/>
  <c r="F5" i="7"/>
  <c r="F6" i="7"/>
  <c r="F7" i="7"/>
  <c r="F8" i="7"/>
  <c r="F9" i="7"/>
  <c r="F10" i="7"/>
  <c r="F11" i="7"/>
  <c r="G13" i="7"/>
  <c r="G14" i="7"/>
  <c r="G15" i="7"/>
  <c r="G16" i="7"/>
  <c r="G17" i="7"/>
  <c r="G18" i="7"/>
  <c r="H37" i="7"/>
  <c r="AH37" i="7" s="1"/>
  <c r="H4" i="7"/>
  <c r="H5" i="7"/>
  <c r="H6" i="7"/>
  <c r="H7" i="7"/>
  <c r="H8" i="7"/>
  <c r="H9" i="7"/>
  <c r="H10" i="7"/>
  <c r="H11" i="7"/>
  <c r="H12" i="7"/>
  <c r="H13" i="7"/>
  <c r="H14" i="7"/>
  <c r="H15" i="7"/>
  <c r="H16" i="7"/>
  <c r="H17" i="7"/>
  <c r="H18" i="7"/>
  <c r="H19" i="7"/>
  <c r="B20" i="7"/>
  <c r="B21" i="7"/>
  <c r="B22" i="7"/>
  <c r="B23" i="7"/>
  <c r="B24" i="7"/>
  <c r="R37" i="7"/>
  <c r="D20" i="7"/>
  <c r="D21" i="7"/>
  <c r="D22" i="7"/>
  <c r="D23" i="7"/>
  <c r="D24" i="7"/>
  <c r="S37" i="7"/>
  <c r="E20" i="7"/>
  <c r="E21" i="7"/>
  <c r="E22" i="7"/>
  <c r="E23" i="7"/>
  <c r="E24" i="7"/>
  <c r="U37" i="7"/>
  <c r="G20" i="7"/>
  <c r="G21" i="7"/>
  <c r="G22" i="7"/>
  <c r="G23" i="7"/>
  <c r="G24" i="7"/>
  <c r="H20" i="7"/>
  <c r="H21" i="7"/>
  <c r="H22" i="7"/>
  <c r="H23" i="7"/>
  <c r="H24" i="7"/>
  <c r="H25" i="7"/>
  <c r="H26" i="7"/>
  <c r="H27" i="7"/>
  <c r="H28" i="7"/>
  <c r="H29" i="7"/>
  <c r="G26" i="7"/>
  <c r="G27" i="7"/>
  <c r="G28" i="7"/>
  <c r="G29" i="7"/>
  <c r="E26" i="7"/>
  <c r="E27" i="7"/>
  <c r="E28" i="7"/>
  <c r="E29" i="7"/>
  <c r="D26" i="7"/>
  <c r="D27" i="7"/>
  <c r="D28" i="7"/>
  <c r="D29" i="7"/>
  <c r="B26" i="7"/>
  <c r="B27" i="7"/>
  <c r="B28" i="7"/>
  <c r="B29" i="7"/>
  <c r="A39" i="7"/>
  <c r="O39" i="7" s="1"/>
  <c r="AA39" i="7" s="1"/>
  <c r="A40" i="7"/>
  <c r="O40" i="7" s="1"/>
  <c r="AA40" i="7" s="1"/>
  <c r="A41" i="7"/>
  <c r="O41" i="7" s="1"/>
  <c r="AA41" i="7" s="1"/>
  <c r="A42" i="7"/>
  <c r="O42" i="7" s="1"/>
  <c r="AA42" i="7" s="1"/>
  <c r="A43" i="7"/>
  <c r="O43" i="7" s="1"/>
  <c r="AA43" i="7" s="1"/>
  <c r="A44" i="7"/>
  <c r="O44" i="7" s="1"/>
  <c r="AA44" i="7" s="1"/>
  <c r="A45" i="7"/>
  <c r="O45" i="7" s="1"/>
  <c r="AA45" i="7" s="1"/>
  <c r="A46" i="7"/>
  <c r="O46" i="7" s="1"/>
  <c r="AA46" i="7" s="1"/>
  <c r="A47" i="7"/>
  <c r="O47" i="7" s="1"/>
  <c r="AA47" i="7" s="1"/>
  <c r="A48" i="7"/>
  <c r="O48" i="7" s="1"/>
  <c r="AA48" i="7" s="1"/>
  <c r="A49" i="7"/>
  <c r="O49" i="7" s="1"/>
  <c r="AA49" i="7" s="1"/>
  <c r="A50" i="7"/>
  <c r="O50" i="7" s="1"/>
  <c r="AA50" i="7" s="1"/>
  <c r="A51" i="7"/>
  <c r="O51" i="7" s="1"/>
  <c r="AA51" i="7" s="1"/>
  <c r="A52" i="7"/>
  <c r="O52" i="7" s="1"/>
  <c r="AA52" i="7" s="1"/>
  <c r="A53" i="7"/>
  <c r="O53" i="7" s="1"/>
  <c r="AA53" i="7" s="1"/>
  <c r="A54" i="7"/>
  <c r="O54" i="7" s="1"/>
  <c r="AA54" i="7" s="1"/>
  <c r="A55" i="7"/>
  <c r="O55" i="7" s="1"/>
  <c r="AA55" i="7" s="1"/>
  <c r="A56" i="7"/>
  <c r="O56" i="7" s="1"/>
  <c r="AA56" i="7" s="1"/>
  <c r="A57" i="7"/>
  <c r="O57" i="7" s="1"/>
  <c r="AA57" i="7" s="1"/>
  <c r="A58" i="7"/>
  <c r="O58" i="7" s="1"/>
  <c r="AA58" i="7" s="1"/>
  <c r="A59" i="7"/>
  <c r="O59" i="7" s="1"/>
  <c r="AA59" i="7" s="1"/>
  <c r="A60" i="7"/>
  <c r="O60" i="7" s="1"/>
  <c r="AA60" i="7" s="1"/>
  <c r="A61" i="7"/>
  <c r="O61" i="7" s="1"/>
  <c r="AA61" i="7" s="1"/>
  <c r="A62" i="7"/>
  <c r="O62" i="7" s="1"/>
  <c r="AA62" i="7" s="1"/>
  <c r="A4" i="7"/>
  <c r="A38" i="7" s="1"/>
  <c r="O38" i="7" s="1"/>
  <c r="AA38" i="7" s="1"/>
  <c r="AA37" i="7"/>
  <c r="AA36" i="7"/>
  <c r="C2" i="7"/>
  <c r="C35" i="7" s="1"/>
  <c r="Q35" i="7" s="1"/>
  <c r="AC35" i="7" s="1"/>
  <c r="D2" i="7"/>
  <c r="D35" i="7" s="1"/>
  <c r="R35" i="7" s="1"/>
  <c r="AD35" i="7" s="1"/>
  <c r="E2" i="7"/>
  <c r="E35" i="7" s="1"/>
  <c r="S35" i="7" s="1"/>
  <c r="AE35" i="7" s="1"/>
  <c r="F2" i="7"/>
  <c r="F35" i="7" s="1"/>
  <c r="T35" i="7" s="1"/>
  <c r="AF35" i="7" s="1"/>
  <c r="G2" i="7"/>
  <c r="G35" i="7" s="1"/>
  <c r="U35" i="7" s="1"/>
  <c r="AG35" i="7" s="1"/>
  <c r="H2" i="7"/>
  <c r="H35" i="7" s="1"/>
  <c r="V35" i="7" s="1"/>
  <c r="AH35" i="7" s="1"/>
  <c r="C3" i="7"/>
  <c r="C36" i="7" s="1"/>
  <c r="Q36" i="7" s="1"/>
  <c r="AC36" i="7" s="1"/>
  <c r="D3" i="7"/>
  <c r="D36" i="7" s="1"/>
  <c r="R36" i="7" s="1"/>
  <c r="AD36" i="7" s="1"/>
  <c r="E3" i="7"/>
  <c r="E36" i="7" s="1"/>
  <c r="S36" i="7" s="1"/>
  <c r="AE36" i="7" s="1"/>
  <c r="F3" i="7"/>
  <c r="F36" i="7" s="1"/>
  <c r="T36" i="7" s="1"/>
  <c r="AF36" i="7" s="1"/>
  <c r="G3" i="7"/>
  <c r="G36" i="7" s="1"/>
  <c r="U36" i="7" s="1"/>
  <c r="AG36" i="7" s="1"/>
  <c r="H3" i="7"/>
  <c r="H36" i="7" s="1"/>
  <c r="V36" i="7" s="1"/>
  <c r="AH36" i="7" s="1"/>
  <c r="AI36" i="7"/>
  <c r="B3" i="7"/>
  <c r="B36" i="7" s="1"/>
  <c r="P36" i="7" s="1"/>
  <c r="AB36" i="7" s="1"/>
  <c r="B2" i="7"/>
  <c r="B35" i="7" s="1"/>
  <c r="P35" i="7" s="1"/>
  <c r="AB35" i="7" s="1"/>
  <c r="F12" i="7"/>
  <c r="C14" i="7"/>
  <c r="A3" i="7"/>
  <c r="B37" i="4"/>
  <c r="B4" i="4"/>
  <c r="B5" i="4"/>
  <c r="C37" i="4"/>
  <c r="C4" i="4"/>
  <c r="C5" i="4"/>
  <c r="F37" i="4"/>
  <c r="F4" i="4"/>
  <c r="F5" i="4"/>
  <c r="H37" i="4"/>
  <c r="H4" i="4"/>
  <c r="H5" i="4"/>
  <c r="B6" i="4"/>
  <c r="C6" i="4"/>
  <c r="F6" i="4"/>
  <c r="H6" i="4"/>
  <c r="B7" i="4"/>
  <c r="C7" i="4"/>
  <c r="F7" i="4"/>
  <c r="H7" i="4"/>
  <c r="B8" i="4"/>
  <c r="C8" i="4"/>
  <c r="F8" i="4"/>
  <c r="H8" i="4"/>
  <c r="B9" i="4"/>
  <c r="C9" i="4"/>
  <c r="F9" i="4"/>
  <c r="H9" i="4"/>
  <c r="B10" i="4"/>
  <c r="C10" i="4"/>
  <c r="F10" i="4"/>
  <c r="H10" i="4"/>
  <c r="B11" i="4"/>
  <c r="C11" i="4"/>
  <c r="F11" i="4"/>
  <c r="H11" i="4"/>
  <c r="B12" i="4"/>
  <c r="C12" i="4"/>
  <c r="F12" i="4"/>
  <c r="H12" i="4"/>
  <c r="B13" i="4"/>
  <c r="C13" i="4"/>
  <c r="G13" i="4"/>
  <c r="H13" i="4"/>
  <c r="B14" i="4"/>
  <c r="C14" i="4"/>
  <c r="G14" i="4"/>
  <c r="H14" i="4"/>
  <c r="B15" i="4"/>
  <c r="D15" i="4"/>
  <c r="E15" i="4"/>
  <c r="U37" i="4"/>
  <c r="AH37" i="4" s="1"/>
  <c r="AR37" i="4" s="1"/>
  <c r="G15" i="4"/>
  <c r="H15" i="4"/>
  <c r="B16" i="4"/>
  <c r="D16" i="4"/>
  <c r="E16" i="4"/>
  <c r="G16" i="4"/>
  <c r="H16" i="4"/>
  <c r="B17" i="4"/>
  <c r="D17" i="4"/>
  <c r="E17" i="4"/>
  <c r="G17" i="4"/>
  <c r="H17" i="4"/>
  <c r="B18" i="4"/>
  <c r="D18" i="4"/>
  <c r="E18" i="4"/>
  <c r="G18" i="4"/>
  <c r="H18" i="4"/>
  <c r="B19" i="4"/>
  <c r="R37" i="4"/>
  <c r="AE37" i="4" s="1"/>
  <c r="AO37" i="4" s="1"/>
  <c r="D19" i="4"/>
  <c r="S37" i="4"/>
  <c r="AF37" i="4" s="1"/>
  <c r="AP37" i="4" s="1"/>
  <c r="E19" i="4"/>
  <c r="G19" i="4"/>
  <c r="H19" i="4"/>
  <c r="B20" i="4"/>
  <c r="D20" i="4"/>
  <c r="E20" i="4"/>
  <c r="G20" i="4"/>
  <c r="H20" i="4"/>
  <c r="B21" i="4"/>
  <c r="D21" i="4"/>
  <c r="E21" i="4"/>
  <c r="G21" i="4"/>
  <c r="H21" i="4"/>
  <c r="B22" i="4"/>
  <c r="D22" i="4"/>
  <c r="E22" i="4"/>
  <c r="G22" i="4"/>
  <c r="H22" i="4"/>
  <c r="B23" i="4"/>
  <c r="D23" i="4"/>
  <c r="E23" i="4"/>
  <c r="G23" i="4"/>
  <c r="H23" i="4"/>
  <c r="B24" i="4"/>
  <c r="D24" i="4"/>
  <c r="E24" i="4"/>
  <c r="G24" i="4"/>
  <c r="H24" i="4"/>
  <c r="B25" i="4"/>
  <c r="D25" i="4"/>
  <c r="E25" i="4"/>
  <c r="G25" i="4"/>
  <c r="H25" i="4"/>
  <c r="B26" i="4"/>
  <c r="D26" i="4"/>
  <c r="E26" i="4"/>
  <c r="G26" i="4"/>
  <c r="H26" i="4"/>
  <c r="B27" i="4"/>
  <c r="D27" i="4"/>
  <c r="E27" i="4"/>
  <c r="G27" i="4"/>
  <c r="H27" i="4"/>
  <c r="B28" i="4"/>
  <c r="D28" i="4"/>
  <c r="E28" i="4"/>
  <c r="G28" i="4"/>
  <c r="H28" i="4"/>
  <c r="B29" i="4"/>
  <c r="D29" i="4"/>
  <c r="E29" i="4"/>
  <c r="G29" i="4"/>
  <c r="H29" i="4"/>
  <c r="AB37" i="4"/>
  <c r="AL37" i="4" s="1"/>
  <c r="AB36" i="4"/>
  <c r="AJ36" i="4"/>
  <c r="AT36" i="4"/>
  <c r="A5" i="4"/>
  <c r="A39" i="4" s="1"/>
  <c r="A6" i="4"/>
  <c r="A40" i="4" s="1"/>
  <c r="A7" i="4"/>
  <c r="A41" i="4" s="1"/>
  <c r="A6" i="14" s="1"/>
  <c r="A8" i="4"/>
  <c r="A42" i="4" s="1"/>
  <c r="A7" i="14" s="1"/>
  <c r="A9" i="4"/>
  <c r="A43" i="4" s="1"/>
  <c r="A10" i="4"/>
  <c r="A44" i="4" s="1"/>
  <c r="A11" i="4"/>
  <c r="A45" i="4" s="1"/>
  <c r="A10" i="14" s="1"/>
  <c r="A12" i="4"/>
  <c r="A46" i="4" s="1"/>
  <c r="A11" i="14" s="1"/>
  <c r="A13" i="4"/>
  <c r="A47" i="4" s="1"/>
  <c r="A12" i="14" s="1"/>
  <c r="A14" i="4"/>
  <c r="A48" i="4" s="1"/>
  <c r="A13" i="14" s="1"/>
  <c r="A15" i="4"/>
  <c r="A49" i="4" s="1"/>
  <c r="A16" i="4"/>
  <c r="A50" i="4" s="1"/>
  <c r="A17" i="4"/>
  <c r="A51" i="4" s="1"/>
  <c r="A16" i="14" s="1"/>
  <c r="A18" i="4"/>
  <c r="A52" i="4" s="1"/>
  <c r="A17" i="14" s="1"/>
  <c r="A19" i="4"/>
  <c r="A53" i="4" s="1"/>
  <c r="A20" i="4"/>
  <c r="A54" i="4" s="1"/>
  <c r="A21" i="4"/>
  <c r="A55" i="4" s="1"/>
  <c r="A20" i="14" s="1"/>
  <c r="A22" i="4"/>
  <c r="A56" i="4" s="1"/>
  <c r="A21" i="14" s="1"/>
  <c r="A23" i="4"/>
  <c r="A57" i="4" s="1"/>
  <c r="A24" i="4"/>
  <c r="A58" i="4" s="1"/>
  <c r="A25" i="4"/>
  <c r="A59" i="4" s="1"/>
  <c r="A24" i="14" s="1"/>
  <c r="A26" i="4"/>
  <c r="A60" i="4" s="1"/>
  <c r="A25" i="14" s="1"/>
  <c r="A27" i="4"/>
  <c r="A61" i="4" s="1"/>
  <c r="A28" i="4"/>
  <c r="A62" i="4" s="1"/>
  <c r="A29" i="4"/>
  <c r="A63" i="4" s="1"/>
  <c r="A4" i="4"/>
  <c r="A38" i="4" s="1"/>
  <c r="O38" i="4" s="1"/>
  <c r="AB38" i="4" s="1"/>
  <c r="H3" i="4"/>
  <c r="H36" i="4" s="1"/>
  <c r="V36" i="4" s="1"/>
  <c r="AI36" i="4" s="1"/>
  <c r="AS36" i="4" s="1"/>
  <c r="G3" i="4"/>
  <c r="G36" i="4" s="1"/>
  <c r="U36" i="4" s="1"/>
  <c r="AH36" i="4" s="1"/>
  <c r="AR36" i="4" s="1"/>
  <c r="F3" i="4"/>
  <c r="F36" i="4" s="1"/>
  <c r="T36" i="4" s="1"/>
  <c r="AG36" i="4" s="1"/>
  <c r="AQ36" i="4" s="1"/>
  <c r="E3" i="4"/>
  <c r="E36" i="4" s="1"/>
  <c r="S36" i="4" s="1"/>
  <c r="AF36" i="4" s="1"/>
  <c r="AP36" i="4" s="1"/>
  <c r="D3" i="4"/>
  <c r="D36" i="4" s="1"/>
  <c r="R36" i="4" s="1"/>
  <c r="AE36" i="4" s="1"/>
  <c r="AO36" i="4" s="1"/>
  <c r="C3" i="4"/>
  <c r="C36" i="4" s="1"/>
  <c r="Q36" i="4" s="1"/>
  <c r="AD36" i="4" s="1"/>
  <c r="AN36" i="4" s="1"/>
  <c r="H2" i="4"/>
  <c r="H35" i="4" s="1"/>
  <c r="V35" i="4" s="1"/>
  <c r="AI35" i="4" s="1"/>
  <c r="AS35" i="4" s="1"/>
  <c r="G2" i="4"/>
  <c r="G35" i="4" s="1"/>
  <c r="U35" i="4" s="1"/>
  <c r="AH35" i="4" s="1"/>
  <c r="AR35" i="4" s="1"/>
  <c r="F2" i="4"/>
  <c r="F35" i="4" s="1"/>
  <c r="T35" i="4" s="1"/>
  <c r="AG35" i="4" s="1"/>
  <c r="AQ35" i="4" s="1"/>
  <c r="E2" i="4"/>
  <c r="E35" i="4" s="1"/>
  <c r="S35" i="4" s="1"/>
  <c r="AF35" i="4" s="1"/>
  <c r="AP35" i="4" s="1"/>
  <c r="D2" i="4"/>
  <c r="D35" i="4" s="1"/>
  <c r="R35" i="4" s="1"/>
  <c r="AE35" i="4" s="1"/>
  <c r="AO35" i="4" s="1"/>
  <c r="C2" i="4"/>
  <c r="C35" i="4" s="1"/>
  <c r="Q35" i="4" s="1"/>
  <c r="AD35" i="4" s="1"/>
  <c r="AN35" i="4" s="1"/>
  <c r="B3" i="4"/>
  <c r="B36" i="4" s="1"/>
  <c r="P36" i="4" s="1"/>
  <c r="AC36" i="4" s="1"/>
  <c r="AM36" i="4" s="1"/>
  <c r="B2" i="4"/>
  <c r="B35" i="4" s="1"/>
  <c r="P35" i="4" s="1"/>
  <c r="AC35" i="4" s="1"/>
  <c r="AM35" i="4" s="1"/>
  <c r="A3" i="4"/>
  <c r="Y65" i="7" l="1"/>
  <c r="P37" i="1"/>
  <c r="N57" i="12"/>
  <c r="AS57" i="12"/>
  <c r="R46" i="12"/>
  <c r="AS46" i="12"/>
  <c r="R62" i="12"/>
  <c r="AS62" i="12"/>
  <c r="AF63" i="9"/>
  <c r="N63" i="9"/>
  <c r="R63" i="9"/>
  <c r="R52" i="12"/>
  <c r="AS52" i="12"/>
  <c r="R60" i="12"/>
  <c r="AS60" i="12"/>
  <c r="N61" i="12"/>
  <c r="AS61" i="12"/>
  <c r="A28" i="14"/>
  <c r="AL63" i="4"/>
  <c r="O63" i="4"/>
  <c r="AB63" i="4" s="1"/>
  <c r="R61" i="12"/>
  <c r="I37" i="4"/>
  <c r="W37" i="4" s="1"/>
  <c r="AJ37" i="4" s="1"/>
  <c r="AT37" i="4" s="1"/>
  <c r="N60" i="12"/>
  <c r="C38" i="4"/>
  <c r="AN38" i="4" s="1"/>
  <c r="C39" i="4" s="1"/>
  <c r="AN39" i="4" s="1"/>
  <c r="C40" i="4" s="1"/>
  <c r="AG62" i="12"/>
  <c r="BN62" i="12" s="1"/>
  <c r="AL58" i="4"/>
  <c r="A23" i="14"/>
  <c r="O58" i="4"/>
  <c r="AB58" i="4" s="1"/>
  <c r="O39" i="4"/>
  <c r="AB39" i="4" s="1"/>
  <c r="A4" i="14"/>
  <c r="AL61" i="4"/>
  <c r="A26" i="14"/>
  <c r="O61" i="4"/>
  <c r="AB61" i="4" s="1"/>
  <c r="AL44" i="4"/>
  <c r="A9" i="14"/>
  <c r="N60" i="10"/>
  <c r="R60" i="10"/>
  <c r="AG60" i="10"/>
  <c r="AS60" i="10" s="1"/>
  <c r="BC60" i="10" s="1"/>
  <c r="R52" i="10"/>
  <c r="N52" i="10"/>
  <c r="AG52" i="10"/>
  <c r="AS52" i="10" s="1"/>
  <c r="BC52" i="10" s="1"/>
  <c r="O50" i="4"/>
  <c r="AB50" i="4" s="1"/>
  <c r="A15" i="14"/>
  <c r="AL53" i="4"/>
  <c r="A18" i="14"/>
  <c r="O53" i="4"/>
  <c r="AB53" i="4" s="1"/>
  <c r="B2" i="14"/>
  <c r="C2" i="14"/>
  <c r="AL38" i="4"/>
  <c r="A3" i="14"/>
  <c r="AL62" i="4"/>
  <c r="A27" i="14"/>
  <c r="O57" i="4"/>
  <c r="AB57" i="4" s="1"/>
  <c r="A22" i="14"/>
  <c r="O49" i="4"/>
  <c r="AB49" i="4" s="1"/>
  <c r="A14" i="14"/>
  <c r="AL43" i="4"/>
  <c r="A8" i="14"/>
  <c r="AL40" i="4"/>
  <c r="A5" i="14"/>
  <c r="T37" i="1"/>
  <c r="AL54" i="4"/>
  <c r="A19" i="14"/>
  <c r="H38" i="4"/>
  <c r="AS38" i="4" s="1"/>
  <c r="H39" i="4" s="1"/>
  <c r="AS39" i="4" s="1"/>
  <c r="H40" i="4" s="1"/>
  <c r="Q37" i="1"/>
  <c r="V37" i="1"/>
  <c r="AG60" i="12"/>
  <c r="BN60" i="12" s="1"/>
  <c r="AG42" i="12"/>
  <c r="BN42" i="12" s="1"/>
  <c r="R42" i="12"/>
  <c r="AG50" i="12"/>
  <c r="BN50" i="12" s="1"/>
  <c r="N50" i="12"/>
  <c r="AG61" i="12"/>
  <c r="BN61" i="12" s="1"/>
  <c r="AI37" i="12"/>
  <c r="BP37" i="12" s="1"/>
  <c r="AU37" i="12" s="1"/>
  <c r="AN37" i="12"/>
  <c r="BU37" i="12" s="1"/>
  <c r="AZ37" i="12" s="1"/>
  <c r="AH37" i="12"/>
  <c r="BO37" i="12" s="1"/>
  <c r="AT37" i="12" s="1"/>
  <c r="N52" i="12"/>
  <c r="AH36" i="12"/>
  <c r="BO36" i="12" s="1"/>
  <c r="AT36" i="12" s="1"/>
  <c r="S36" i="12"/>
  <c r="AG59" i="12"/>
  <c r="BN59" i="12" s="1"/>
  <c r="R59" i="12"/>
  <c r="N59" i="12"/>
  <c r="N56" i="12"/>
  <c r="R56" i="12"/>
  <c r="AG56" i="12"/>
  <c r="BN56" i="12" s="1"/>
  <c r="N51" i="12"/>
  <c r="R51" i="12"/>
  <c r="AG51" i="12"/>
  <c r="BN51" i="12" s="1"/>
  <c r="N38" i="12"/>
  <c r="R38" i="12"/>
  <c r="AG38" i="12"/>
  <c r="BN38" i="12" s="1"/>
  <c r="N62" i="12"/>
  <c r="R50" i="12"/>
  <c r="BN64" i="12"/>
  <c r="T35" i="12"/>
  <c r="AG57" i="12"/>
  <c r="BN57" i="12" s="1"/>
  <c r="N46" i="12"/>
  <c r="R57" i="12"/>
  <c r="AG46" i="12"/>
  <c r="BN46" i="12" s="1"/>
  <c r="AG52" i="12"/>
  <c r="BN52" i="12" s="1"/>
  <c r="AG38" i="10"/>
  <c r="AS38" i="10" s="1"/>
  <c r="BC38" i="10" s="1"/>
  <c r="N38" i="10"/>
  <c r="N56" i="10"/>
  <c r="AG56" i="10"/>
  <c r="AS56" i="10" s="1"/>
  <c r="BC56" i="10" s="1"/>
  <c r="AH36" i="10"/>
  <c r="AT36" i="10" s="1"/>
  <c r="BD36" i="10" s="1"/>
  <c r="S36" i="10"/>
  <c r="N54" i="10"/>
  <c r="R54" i="10"/>
  <c r="AK36" i="10"/>
  <c r="AW36" i="10" s="1"/>
  <c r="BG36" i="10" s="1"/>
  <c r="V36" i="10"/>
  <c r="AG50" i="10"/>
  <c r="AS50" i="10" s="1"/>
  <c r="BC50" i="10" s="1"/>
  <c r="R50" i="10"/>
  <c r="AI37" i="10"/>
  <c r="AU37" i="10" s="1"/>
  <c r="BE37" i="10" s="1"/>
  <c r="N58" i="10"/>
  <c r="V35" i="10"/>
  <c r="AK35" i="10"/>
  <c r="AW35" i="10" s="1"/>
  <c r="BG35" i="10" s="1"/>
  <c r="N43" i="10"/>
  <c r="R43" i="10"/>
  <c r="AG43" i="10"/>
  <c r="AS43" i="10" s="1"/>
  <c r="BC43" i="10" s="1"/>
  <c r="AG48" i="10"/>
  <c r="AS48" i="10" s="1"/>
  <c r="BC48" i="10" s="1"/>
  <c r="N48" i="10"/>
  <c r="AG39" i="10"/>
  <c r="AS39" i="10" s="1"/>
  <c r="BC39" i="10" s="1"/>
  <c r="R39" i="10"/>
  <c r="AH35" i="10"/>
  <c r="AT35" i="10" s="1"/>
  <c r="BD35" i="10" s="1"/>
  <c r="S35" i="10"/>
  <c r="AI36" i="10"/>
  <c r="AU36" i="10" s="1"/>
  <c r="BE36" i="10" s="1"/>
  <c r="T36" i="10"/>
  <c r="N62" i="10"/>
  <c r="R62" i="10"/>
  <c r="AG62" i="10"/>
  <c r="AS62" i="10" s="1"/>
  <c r="BC62" i="10" s="1"/>
  <c r="AG51" i="10"/>
  <c r="AS51" i="10" s="1"/>
  <c r="BC51" i="10" s="1"/>
  <c r="N51" i="10"/>
  <c r="T35" i="10"/>
  <c r="AI35" i="10"/>
  <c r="AU35" i="10" s="1"/>
  <c r="BE35" i="10" s="1"/>
  <c r="N53" i="10"/>
  <c r="R53" i="10"/>
  <c r="AG53" i="10"/>
  <c r="AS53" i="10" s="1"/>
  <c r="BC53" i="10" s="1"/>
  <c r="N45" i="10"/>
  <c r="R45" i="10"/>
  <c r="AG45" i="10"/>
  <c r="AS45" i="10" s="1"/>
  <c r="BC45" i="10" s="1"/>
  <c r="AG49" i="10"/>
  <c r="AS49" i="10" s="1"/>
  <c r="BC49" i="10" s="1"/>
  <c r="Y35" i="10"/>
  <c r="AN37" i="10"/>
  <c r="AZ37" i="10" s="1"/>
  <c r="BJ37" i="10" s="1"/>
  <c r="N50" i="10"/>
  <c r="U35" i="10"/>
  <c r="AG58" i="10"/>
  <c r="AS58" i="10" s="1"/>
  <c r="BC58" i="10" s="1"/>
  <c r="R40" i="10"/>
  <c r="N47" i="10"/>
  <c r="W35" i="10"/>
  <c r="AL37" i="10"/>
  <c r="AX37" i="10" s="1"/>
  <c r="BH37" i="10" s="1"/>
  <c r="AH37" i="10"/>
  <c r="AT37" i="10" s="1"/>
  <c r="BD37" i="10" s="1"/>
  <c r="R46" i="10"/>
  <c r="R42" i="10"/>
  <c r="N49" i="10"/>
  <c r="C38" i="7"/>
  <c r="AC38" i="7" s="1"/>
  <c r="C39" i="7" s="1"/>
  <c r="AC39" i="7" s="1"/>
  <c r="C40" i="7" s="1"/>
  <c r="F38" i="7"/>
  <c r="AF38" i="7" s="1"/>
  <c r="F39" i="7" s="1"/>
  <c r="H38" i="7"/>
  <c r="AH38" i="7" s="1"/>
  <c r="H39" i="7" s="1"/>
  <c r="AI37" i="7"/>
  <c r="B38" i="7"/>
  <c r="AB38" i="7" s="1"/>
  <c r="O46" i="4"/>
  <c r="AB46" i="4" s="1"/>
  <c r="AL46" i="4"/>
  <c r="B38" i="4"/>
  <c r="AM38" i="4" s="1"/>
  <c r="O44" i="4"/>
  <c r="AB44" i="4" s="1"/>
  <c r="F38" i="4"/>
  <c r="AQ38" i="4" s="1"/>
  <c r="F39" i="4" s="1"/>
  <c r="O62" i="4"/>
  <c r="AB62" i="4" s="1"/>
  <c r="AL39" i="4"/>
  <c r="V37" i="4"/>
  <c r="AI37" i="4" s="1"/>
  <c r="AS37" i="4" s="1"/>
  <c r="AL57" i="4"/>
  <c r="O40" i="4"/>
  <c r="AB40" i="4" s="1"/>
  <c r="O54" i="4"/>
  <c r="AB54" i="4" s="1"/>
  <c r="AL49" i="4"/>
  <c r="N45" i="9"/>
  <c r="AF45" i="9"/>
  <c r="AF41" i="9"/>
  <c r="AF57" i="9"/>
  <c r="N57" i="9"/>
  <c r="R62" i="9"/>
  <c r="AF62" i="9"/>
  <c r="R48" i="9"/>
  <c r="N48" i="9"/>
  <c r="AI35" i="9"/>
  <c r="U35" i="9"/>
  <c r="R42" i="9"/>
  <c r="N42" i="9"/>
  <c r="X35" i="9"/>
  <c r="AL35" i="9"/>
  <c r="T35" i="9"/>
  <c r="AH35" i="9"/>
  <c r="N49" i="9"/>
  <c r="N62" i="9"/>
  <c r="R43" i="9"/>
  <c r="AJ36" i="9"/>
  <c r="S36" i="9"/>
  <c r="N41" i="9"/>
  <c r="S35" i="9"/>
  <c r="Y36" i="9"/>
  <c r="AM36" i="9"/>
  <c r="W35" i="9"/>
  <c r="AK35" i="9"/>
  <c r="N38" i="9"/>
  <c r="R38" i="9"/>
  <c r="AF38" i="9"/>
  <c r="R56" i="9"/>
  <c r="AF56" i="9"/>
  <c r="N56" i="9"/>
  <c r="R52" i="9"/>
  <c r="AF52" i="9"/>
  <c r="N52" i="9"/>
  <c r="N44" i="9"/>
  <c r="AF44" i="9"/>
  <c r="R44" i="9"/>
  <c r="AF40" i="9"/>
  <c r="R40" i="9"/>
  <c r="N40" i="9"/>
  <c r="N47" i="9"/>
  <c r="R47" i="9"/>
  <c r="AI36" i="9"/>
  <c r="U36" i="9"/>
  <c r="N61" i="9"/>
  <c r="AF61" i="9"/>
  <c r="R61" i="9"/>
  <c r="W36" i="9"/>
  <c r="Y35" i="9"/>
  <c r="N53" i="9"/>
  <c r="R53" i="9"/>
  <c r="R54" i="9"/>
  <c r="R49" i="9"/>
  <c r="AF42" i="9"/>
  <c r="AH37" i="9"/>
  <c r="AF54" i="9"/>
  <c r="R55" i="9"/>
  <c r="AF48" i="9"/>
  <c r="X36" i="9"/>
  <c r="AL36" i="9"/>
  <c r="T36" i="9"/>
  <c r="AH36" i="9"/>
  <c r="AJ35" i="9"/>
  <c r="V35" i="9"/>
  <c r="N59" i="9"/>
  <c r="AF59" i="9"/>
  <c r="R59" i="9"/>
  <c r="N51" i="9"/>
  <c r="AF51" i="9"/>
  <c r="R51" i="9"/>
  <c r="N39" i="9"/>
  <c r="AF39" i="9"/>
  <c r="R39" i="9"/>
  <c r="I38" i="9"/>
  <c r="AF47" i="9"/>
  <c r="N55" i="9"/>
  <c r="AF43" i="9"/>
  <c r="AF60" i="9"/>
  <c r="AK37" i="9"/>
  <c r="R50" i="9"/>
  <c r="N46" i="9"/>
  <c r="AF46" i="9"/>
  <c r="R58" i="9"/>
  <c r="AM37" i="9"/>
  <c r="AF50" i="9"/>
  <c r="AF58" i="9"/>
  <c r="N60" i="9"/>
  <c r="AG37" i="9"/>
  <c r="O55" i="4"/>
  <c r="AB55" i="4" s="1"/>
  <c r="AL55" i="4"/>
  <c r="AL47" i="4"/>
  <c r="O47" i="4"/>
  <c r="AB47" i="4" s="1"/>
  <c r="AL41" i="4"/>
  <c r="O41" i="4"/>
  <c r="AB41" i="4" s="1"/>
  <c r="O60" i="4"/>
  <c r="AB60" i="4" s="1"/>
  <c r="AL60" i="4"/>
  <c r="O52" i="4"/>
  <c r="AB52" i="4" s="1"/>
  <c r="AL52" i="4"/>
  <c r="AL59" i="4"/>
  <c r="O59" i="4"/>
  <c r="AB59" i="4" s="1"/>
  <c r="AL51" i="4"/>
  <c r="O51" i="4"/>
  <c r="AB51" i="4" s="1"/>
  <c r="O45" i="4"/>
  <c r="AB45" i="4" s="1"/>
  <c r="AL45" i="4"/>
  <c r="AL56" i="4"/>
  <c r="O56" i="4"/>
  <c r="AB56" i="4" s="1"/>
  <c r="O48" i="4"/>
  <c r="AB48" i="4" s="1"/>
  <c r="AL48" i="4"/>
  <c r="AL42" i="4"/>
  <c r="O42" i="4"/>
  <c r="AB42" i="4" s="1"/>
  <c r="AL50" i="4"/>
  <c r="O43" i="4"/>
  <c r="AB43" i="4" s="1"/>
  <c r="F40" i="1"/>
  <c r="N61" i="10"/>
  <c r="R61" i="10"/>
  <c r="AG61" i="10"/>
  <c r="AS61" i="10" s="1"/>
  <c r="BC61" i="10" s="1"/>
  <c r="R57" i="10"/>
  <c r="AG57" i="10"/>
  <c r="AS57" i="10" s="1"/>
  <c r="BC57" i="10" s="1"/>
  <c r="N57" i="10"/>
  <c r="N41" i="10"/>
  <c r="R41" i="10"/>
  <c r="AG41" i="10"/>
  <c r="AS41" i="10" s="1"/>
  <c r="BC41" i="10" s="1"/>
  <c r="C39" i="1"/>
  <c r="I38" i="1"/>
  <c r="C3" i="14" s="1"/>
  <c r="I37" i="7"/>
  <c r="D2" i="14" s="1"/>
  <c r="H39" i="1"/>
  <c r="B40" i="1"/>
  <c r="N59" i="10"/>
  <c r="R59" i="10"/>
  <c r="AG59" i="10"/>
  <c r="AS59" i="10" s="1"/>
  <c r="BC59" i="10" s="1"/>
  <c r="N55" i="10"/>
  <c r="AG55" i="10"/>
  <c r="AS55" i="10" s="1"/>
  <c r="BC55" i="10" s="1"/>
  <c r="R55" i="10"/>
  <c r="AG46" i="10"/>
  <c r="AS46" i="10" s="1"/>
  <c r="BC46" i="10" s="1"/>
  <c r="R48" i="10"/>
  <c r="R44" i="10"/>
  <c r="R56" i="10"/>
  <c r="N40" i="10"/>
  <c r="AG42" i="10"/>
  <c r="AS42" i="10" s="1"/>
  <c r="BC42" i="10" s="1"/>
  <c r="U36" i="10"/>
  <c r="W36" i="10"/>
  <c r="R51" i="10"/>
  <c r="Y36" i="10"/>
  <c r="N44" i="10"/>
  <c r="AG47" i="10"/>
  <c r="AS47" i="10" s="1"/>
  <c r="BC47" i="10" s="1"/>
  <c r="AG54" i="10"/>
  <c r="AS54" i="10" s="1"/>
  <c r="BC54" i="10" s="1"/>
  <c r="I38" i="10"/>
  <c r="X36" i="10"/>
  <c r="N39" i="10"/>
  <c r="R38" i="10"/>
  <c r="X35" i="10"/>
  <c r="W35" i="12"/>
  <c r="AL35" i="12"/>
  <c r="BS35" i="12" s="1"/>
  <c r="AX35" i="12" s="1"/>
  <c r="AK36" i="12"/>
  <c r="BR36" i="12" s="1"/>
  <c r="AW36" i="12" s="1"/>
  <c r="V36" i="12"/>
  <c r="N39" i="12"/>
  <c r="R39" i="12"/>
  <c r="AG39" i="12"/>
  <c r="BN39" i="12" s="1"/>
  <c r="N41" i="12"/>
  <c r="AG41" i="12"/>
  <c r="BN41" i="12" s="1"/>
  <c r="R41" i="12"/>
  <c r="AG48" i="12"/>
  <c r="BN48" i="12" s="1"/>
  <c r="R48" i="12"/>
  <c r="N48" i="12"/>
  <c r="T36" i="12"/>
  <c r="AI36" i="12"/>
  <c r="BP36" i="12" s="1"/>
  <c r="AU36" i="12" s="1"/>
  <c r="W36" i="12"/>
  <c r="AL36" i="12"/>
  <c r="BS36" i="12" s="1"/>
  <c r="AX36" i="12" s="1"/>
  <c r="AG43" i="12"/>
  <c r="BN43" i="12" s="1"/>
  <c r="N43" i="12"/>
  <c r="R43" i="12"/>
  <c r="R45" i="12"/>
  <c r="AG45" i="12"/>
  <c r="BN45" i="12" s="1"/>
  <c r="N45" i="12"/>
  <c r="N53" i="12"/>
  <c r="R53" i="12"/>
  <c r="AG53" i="12"/>
  <c r="BN53" i="12" s="1"/>
  <c r="N55" i="12"/>
  <c r="R55" i="12"/>
  <c r="AG55" i="12"/>
  <c r="BN55" i="12" s="1"/>
  <c r="AG58" i="12"/>
  <c r="BN58" i="12" s="1"/>
  <c r="N58" i="12"/>
  <c r="R58" i="12"/>
  <c r="AJ35" i="12"/>
  <c r="BQ35" i="12" s="1"/>
  <c r="AV35" i="12" s="1"/>
  <c r="U35" i="12"/>
  <c r="X36" i="12"/>
  <c r="AM36" i="12"/>
  <c r="BT36" i="12" s="1"/>
  <c r="AY36" i="12" s="1"/>
  <c r="R40" i="12"/>
  <c r="N40" i="12"/>
  <c r="AG40" i="12"/>
  <c r="BN40" i="12" s="1"/>
  <c r="N47" i="12"/>
  <c r="R47" i="12"/>
  <c r="AG47" i="12"/>
  <c r="BN47" i="12" s="1"/>
  <c r="R49" i="12"/>
  <c r="N49" i="12"/>
  <c r="AG49" i="12"/>
  <c r="BN49" i="12" s="1"/>
  <c r="S35" i="12"/>
  <c r="AH35" i="12"/>
  <c r="BO35" i="12" s="1"/>
  <c r="AT35" i="12" s="1"/>
  <c r="AK35" i="12"/>
  <c r="BR35" i="12" s="1"/>
  <c r="AW35" i="12" s="1"/>
  <c r="V35" i="12"/>
  <c r="Y35" i="12"/>
  <c r="AN35" i="12"/>
  <c r="BU35" i="12" s="1"/>
  <c r="AZ35" i="12" s="1"/>
  <c r="Y36" i="12"/>
  <c r="AN36" i="12"/>
  <c r="BU36" i="12" s="1"/>
  <c r="AZ36" i="12" s="1"/>
  <c r="N44" i="12"/>
  <c r="AG44" i="12"/>
  <c r="BN44" i="12" s="1"/>
  <c r="R44" i="12"/>
  <c r="AG54" i="12"/>
  <c r="BN54" i="12" s="1"/>
  <c r="N54" i="12"/>
  <c r="R54" i="12"/>
  <c r="X35" i="12"/>
  <c r="U36" i="12"/>
  <c r="N42" i="12"/>
  <c r="I38" i="12"/>
  <c r="P37" i="4" l="1"/>
  <c r="AC37" i="4" s="1"/>
  <c r="AM37" i="4" s="1"/>
  <c r="Q37" i="4"/>
  <c r="AD37" i="4" s="1"/>
  <c r="AN37" i="4" s="1"/>
  <c r="T37" i="4"/>
  <c r="AG37" i="4" s="1"/>
  <c r="AQ37" i="4" s="1"/>
  <c r="I39" i="1"/>
  <c r="C4" i="14" s="1"/>
  <c r="I38" i="4"/>
  <c r="T38" i="4" s="1"/>
  <c r="I38" i="7"/>
  <c r="O38" i="9"/>
  <c r="J38" i="9"/>
  <c r="K38" i="9" s="1"/>
  <c r="L38" i="9" s="1"/>
  <c r="O38" i="12"/>
  <c r="J38" i="12"/>
  <c r="K38" i="12" s="1"/>
  <c r="L38" i="12" s="1"/>
  <c r="O38" i="10"/>
  <c r="J38" i="10"/>
  <c r="K38" i="10" s="1"/>
  <c r="L38" i="10" s="1"/>
  <c r="J39" i="1"/>
  <c r="K39" i="1" s="1"/>
  <c r="L39" i="1" s="1"/>
  <c r="Q37" i="7"/>
  <c r="P37" i="7"/>
  <c r="V37" i="7"/>
  <c r="T37" i="7"/>
  <c r="W37" i="7"/>
  <c r="F41" i="1"/>
  <c r="AC40" i="7"/>
  <c r="C41" i="7" s="1"/>
  <c r="AF39" i="7"/>
  <c r="F40" i="7" s="1"/>
  <c r="B39" i="4"/>
  <c r="AT38" i="4"/>
  <c r="AS40" i="4"/>
  <c r="H41" i="4" s="1"/>
  <c r="B41" i="1"/>
  <c r="P38" i="1"/>
  <c r="J38" i="1"/>
  <c r="K38" i="1" s="1"/>
  <c r="L38" i="1" s="1"/>
  <c r="T38" i="1"/>
  <c r="Q38" i="1"/>
  <c r="T39" i="1"/>
  <c r="B39" i="7"/>
  <c r="AI38" i="7"/>
  <c r="AQ39" i="4"/>
  <c r="F40" i="4" s="1"/>
  <c r="H40" i="1"/>
  <c r="Q39" i="1"/>
  <c r="C40" i="1"/>
  <c r="AJ37" i="7"/>
  <c r="V38" i="1"/>
  <c r="AH39" i="7"/>
  <c r="H40" i="7" s="1"/>
  <c r="AN40" i="4"/>
  <c r="C41" i="4" s="1"/>
  <c r="V39" i="1" l="1"/>
  <c r="W39" i="1" s="1"/>
  <c r="P38" i="4"/>
  <c r="J38" i="4"/>
  <c r="K38" i="4" s="1"/>
  <c r="L38" i="4" s="1"/>
  <c r="AG38" i="4"/>
  <c r="AJ38" i="4"/>
  <c r="P39" i="1"/>
  <c r="AC38" i="4"/>
  <c r="V38" i="4"/>
  <c r="AI38" i="4"/>
  <c r="Q38" i="4"/>
  <c r="AU38" i="4"/>
  <c r="B3" i="14"/>
  <c r="AD38" i="4"/>
  <c r="I40" i="1"/>
  <c r="C5" i="14" s="1"/>
  <c r="X39" i="1"/>
  <c r="J38" i="7"/>
  <c r="K38" i="7" s="1"/>
  <c r="L38" i="7" s="1"/>
  <c r="D3" i="14"/>
  <c r="X38" i="1"/>
  <c r="W38" i="1"/>
  <c r="T38" i="7"/>
  <c r="Q38" i="7"/>
  <c r="AJ38" i="7"/>
  <c r="V38" i="7"/>
  <c r="P38" i="7"/>
  <c r="W38" i="9"/>
  <c r="F39" i="9" s="1"/>
  <c r="Y38" i="9"/>
  <c r="H39" i="9" s="1"/>
  <c r="O39" i="9"/>
  <c r="O40" i="9" s="1"/>
  <c r="O41" i="9" s="1"/>
  <c r="O42" i="9" s="1"/>
  <c r="O43" i="9" s="1"/>
  <c r="O44" i="9" s="1"/>
  <c r="O45" i="9" s="1"/>
  <c r="O46" i="9" s="1"/>
  <c r="S38" i="9"/>
  <c r="T38" i="9"/>
  <c r="J40" i="1"/>
  <c r="K40" i="1" s="1"/>
  <c r="L40" i="1" s="1"/>
  <c r="AN41" i="4"/>
  <c r="C42" i="4" s="1"/>
  <c r="AH40" i="7"/>
  <c r="H41" i="7" s="1"/>
  <c r="AS41" i="4"/>
  <c r="H42" i="4" s="1"/>
  <c r="F42" i="1"/>
  <c r="O39" i="10"/>
  <c r="S38" i="10"/>
  <c r="Y38" i="10"/>
  <c r="T38" i="10"/>
  <c r="W38" i="10"/>
  <c r="H41" i="1"/>
  <c r="AB39" i="7"/>
  <c r="I39" i="7"/>
  <c r="AM39" i="4"/>
  <c r="B40" i="4" s="1"/>
  <c r="I39" i="4"/>
  <c r="C41" i="1"/>
  <c r="AQ40" i="4"/>
  <c r="F41" i="4" s="1"/>
  <c r="B42" i="1"/>
  <c r="AF40" i="7"/>
  <c r="F41" i="7" s="1"/>
  <c r="AC41" i="7"/>
  <c r="C42" i="7" s="1"/>
  <c r="T38" i="12"/>
  <c r="W38" i="12"/>
  <c r="O39" i="12"/>
  <c r="Y38" i="12"/>
  <c r="S38" i="12"/>
  <c r="O40" i="12" l="1"/>
  <c r="O41" i="12" s="1"/>
  <c r="O42" i="12" s="1"/>
  <c r="O43" i="12" s="1"/>
  <c r="O44" i="12" s="1"/>
  <c r="O45" i="12" s="1"/>
  <c r="O46" i="12" s="1"/>
  <c r="O47" i="12" s="1"/>
  <c r="O48" i="12" s="1"/>
  <c r="O49" i="12" s="1"/>
  <c r="O50" i="12" s="1"/>
  <c r="O51" i="12" s="1"/>
  <c r="O52" i="12" s="1"/>
  <c r="O53" i="12" s="1"/>
  <c r="O54" i="12" s="1"/>
  <c r="O55" i="12" s="1"/>
  <c r="O56" i="12" s="1"/>
  <c r="O57" i="12" s="1"/>
  <c r="O58" i="12" s="1"/>
  <c r="O59" i="12" s="1"/>
  <c r="O60" i="12" s="1"/>
  <c r="O61" i="12" s="1"/>
  <c r="O62" i="12" s="1"/>
  <c r="O63" i="12" s="1"/>
  <c r="O64" i="12" s="1"/>
  <c r="O65" i="12" s="1"/>
  <c r="O67" i="12" s="1"/>
  <c r="I72" i="12" s="1"/>
  <c r="O40" i="10"/>
  <c r="O41" i="10" s="1"/>
  <c r="O42" i="10" s="1"/>
  <c r="O43" i="10" s="1"/>
  <c r="O44" i="10" s="1"/>
  <c r="O45" i="10" s="1"/>
  <c r="O46" i="10" s="1"/>
  <c r="O47" i="10" s="1"/>
  <c r="O48" i="10" s="1"/>
  <c r="O49" i="10" s="1"/>
  <c r="O50" i="10" s="1"/>
  <c r="O51" i="10" s="1"/>
  <c r="O52" i="10" s="1"/>
  <c r="O53" i="10" s="1"/>
  <c r="O54" i="10" s="1"/>
  <c r="O55" i="10" s="1"/>
  <c r="O56" i="10" s="1"/>
  <c r="O57" i="10" s="1"/>
  <c r="O58" i="10" s="1"/>
  <c r="O59" i="10" s="1"/>
  <c r="O60" i="10" s="1"/>
  <c r="O61" i="10" s="1"/>
  <c r="O62" i="10" s="1"/>
  <c r="O63" i="10" s="1"/>
  <c r="P40" i="1"/>
  <c r="X40" i="1" s="1"/>
  <c r="W38" i="4"/>
  <c r="X38" i="4"/>
  <c r="Y38" i="4" s="1"/>
  <c r="V40" i="1"/>
  <c r="Q40" i="1"/>
  <c r="T40" i="1"/>
  <c r="O66" i="12"/>
  <c r="I41" i="1"/>
  <c r="V41" i="1" s="1"/>
  <c r="P39" i="4"/>
  <c r="B4" i="14"/>
  <c r="Y38" i="1"/>
  <c r="Y39" i="1"/>
  <c r="P41" i="1"/>
  <c r="P39" i="7"/>
  <c r="D4" i="14"/>
  <c r="W38" i="7"/>
  <c r="X38" i="7"/>
  <c r="O47" i="9"/>
  <c r="W39" i="9"/>
  <c r="F40" i="9" s="1"/>
  <c r="W40" i="9" s="1"/>
  <c r="F41" i="9" s="1"/>
  <c r="W41" i="9" s="1"/>
  <c r="B39" i="9"/>
  <c r="Z38" i="9"/>
  <c r="Y39" i="9"/>
  <c r="H40" i="9" s="1"/>
  <c r="Y40" i="9" s="1"/>
  <c r="H41" i="9" s="1"/>
  <c r="Y41" i="9" s="1"/>
  <c r="C39" i="9"/>
  <c r="T39" i="9" s="1"/>
  <c r="C40" i="9" s="1"/>
  <c r="T40" i="9" s="1"/>
  <c r="C41" i="9" s="1"/>
  <c r="T41" i="9" s="1"/>
  <c r="AH41" i="7"/>
  <c r="H42" i="7" s="1"/>
  <c r="AC42" i="7"/>
  <c r="C43" i="7" s="1"/>
  <c r="AX38" i="12"/>
  <c r="F39" i="12" s="1"/>
  <c r="W39" i="12" s="1"/>
  <c r="B43" i="1"/>
  <c r="AQ41" i="4"/>
  <c r="F42" i="4" s="1"/>
  <c r="AJ39" i="4"/>
  <c r="J39" i="4"/>
  <c r="K39" i="4" s="1"/>
  <c r="L39" i="4" s="1"/>
  <c r="AT39" i="4"/>
  <c r="AU39" i="4" s="1"/>
  <c r="V39" i="4"/>
  <c r="Q39" i="4"/>
  <c r="AI39" i="4"/>
  <c r="AD39" i="4"/>
  <c r="AG39" i="4"/>
  <c r="T39" i="4"/>
  <c r="BJ38" i="10"/>
  <c r="H39" i="10" s="1"/>
  <c r="Y39" i="10" s="1"/>
  <c r="Z38" i="12"/>
  <c r="AL38" i="12" s="1"/>
  <c r="AT38" i="12"/>
  <c r="B39" i="12" s="1"/>
  <c r="AZ38" i="12"/>
  <c r="H39" i="12" s="1"/>
  <c r="Y39" i="12" s="1"/>
  <c r="AM40" i="4"/>
  <c r="B41" i="4" s="1"/>
  <c r="I40" i="4"/>
  <c r="J39" i="7"/>
  <c r="K39" i="7" s="1"/>
  <c r="L39" i="7" s="1"/>
  <c r="Q39" i="7"/>
  <c r="T39" i="7"/>
  <c r="V39" i="7"/>
  <c r="H42" i="1"/>
  <c r="BD38" i="10"/>
  <c r="B39" i="10" s="1"/>
  <c r="Z38" i="10"/>
  <c r="AZ38" i="10" s="1"/>
  <c r="F43" i="1"/>
  <c r="BE38" i="10"/>
  <c r="C39" i="10" s="1"/>
  <c r="T39" i="10" s="1"/>
  <c r="AF41" i="7"/>
  <c r="F42" i="7" s="1"/>
  <c r="AU38" i="12"/>
  <c r="C39" i="12" s="1"/>
  <c r="T39" i="12" s="1"/>
  <c r="C42" i="1"/>
  <c r="AC39" i="4"/>
  <c r="AI39" i="7"/>
  <c r="AJ39" i="7" s="1"/>
  <c r="B40" i="7"/>
  <c r="BH38" i="10"/>
  <c r="F39" i="10" s="1"/>
  <c r="W39" i="10" s="1"/>
  <c r="O64" i="10" l="1"/>
  <c r="O65" i="10" s="1"/>
  <c r="O67" i="10" s="1"/>
  <c r="I72" i="10" s="1"/>
  <c r="B27" i="8" s="1"/>
  <c r="D27" i="8"/>
  <c r="I75" i="12"/>
  <c r="Q41" i="1"/>
  <c r="C6" i="14"/>
  <c r="T41" i="1"/>
  <c r="W40" i="1"/>
  <c r="J41" i="1"/>
  <c r="K41" i="1" s="1"/>
  <c r="L41" i="1" s="1"/>
  <c r="O66" i="10"/>
  <c r="Y40" i="1"/>
  <c r="P40" i="4"/>
  <c r="B5" i="14"/>
  <c r="W39" i="4"/>
  <c r="Y38" i="7"/>
  <c r="X41" i="1"/>
  <c r="W41" i="1"/>
  <c r="X39" i="4"/>
  <c r="BO38" i="12"/>
  <c r="AN38" i="12"/>
  <c r="BP38" i="12"/>
  <c r="BU38" i="12"/>
  <c r="AI38" i="12"/>
  <c r="AH38" i="12"/>
  <c r="AU38" i="10"/>
  <c r="AL38" i="10"/>
  <c r="AX38" i="10"/>
  <c r="AH38" i="10"/>
  <c r="AT38" i="10"/>
  <c r="AI38" i="10"/>
  <c r="X39" i="7"/>
  <c r="W39" i="7"/>
  <c r="AC40" i="4"/>
  <c r="O48" i="9"/>
  <c r="S39" i="9"/>
  <c r="I39" i="9"/>
  <c r="J39" i="9" s="1"/>
  <c r="K39" i="9" s="1"/>
  <c r="L39" i="9" s="1"/>
  <c r="AM38" i="9"/>
  <c r="AA38" i="9"/>
  <c r="AB38" i="9" s="1"/>
  <c r="AC38" i="9" s="1"/>
  <c r="AD38" i="9"/>
  <c r="AK38" i="9"/>
  <c r="AH38" i="9"/>
  <c r="AG38" i="9"/>
  <c r="AB40" i="7"/>
  <c r="I40" i="7"/>
  <c r="D5" i="14" s="1"/>
  <c r="S39" i="10"/>
  <c r="I39" i="10"/>
  <c r="AN38" i="10"/>
  <c r="BS38" i="12"/>
  <c r="AU39" i="12"/>
  <c r="C40" i="12" s="1"/>
  <c r="T40" i="12" s="1"/>
  <c r="F42" i="9"/>
  <c r="W42" i="9" s="1"/>
  <c r="C42" i="9"/>
  <c r="T42" i="9" s="1"/>
  <c r="BE39" i="10"/>
  <c r="C40" i="10" s="1"/>
  <c r="T40" i="10" s="1"/>
  <c r="H43" i="1"/>
  <c r="S39" i="12"/>
  <c r="I39" i="12"/>
  <c r="BJ39" i="10"/>
  <c r="H40" i="10" s="1"/>
  <c r="Y40" i="10" s="1"/>
  <c r="B44" i="1"/>
  <c r="AX39" i="12"/>
  <c r="F40" i="12" s="1"/>
  <c r="W40" i="12" s="1"/>
  <c r="AH42" i="7"/>
  <c r="H43" i="7" s="1"/>
  <c r="AF42" i="7"/>
  <c r="F43" i="7" s="1"/>
  <c r="I41" i="4"/>
  <c r="B6" i="14" s="1"/>
  <c r="AM41" i="4"/>
  <c r="B42" i="4" s="1"/>
  <c r="H42" i="9"/>
  <c r="Y42" i="9" s="1"/>
  <c r="BH39" i="10"/>
  <c r="F40" i="10" s="1"/>
  <c r="W40" i="10" s="1"/>
  <c r="C43" i="1"/>
  <c r="F44" i="1"/>
  <c r="AA38" i="10"/>
  <c r="AB38" i="10" s="1"/>
  <c r="AC38" i="10" s="1"/>
  <c r="BL38" i="10"/>
  <c r="AD38" i="10"/>
  <c r="BK38" i="10"/>
  <c r="BA38" i="10"/>
  <c r="AJ40" i="4"/>
  <c r="J40" i="4"/>
  <c r="K40" i="4" s="1"/>
  <c r="L40" i="4" s="1"/>
  <c r="AT40" i="4"/>
  <c r="AU40" i="4" s="1"/>
  <c r="AI40" i="4"/>
  <c r="AD40" i="4"/>
  <c r="V40" i="4"/>
  <c r="Q40" i="4"/>
  <c r="AG40" i="4"/>
  <c r="T40" i="4"/>
  <c r="AZ39" i="12"/>
  <c r="H40" i="12" s="1"/>
  <c r="Y40" i="12" s="1"/>
  <c r="AA38" i="12"/>
  <c r="AB38" i="12" s="1"/>
  <c r="AC38" i="12" s="1"/>
  <c r="BA38" i="12"/>
  <c r="AD38" i="12"/>
  <c r="BV38" i="12"/>
  <c r="BB38" i="12"/>
  <c r="I42" i="1"/>
  <c r="C7" i="14" s="1"/>
  <c r="AC43" i="7"/>
  <c r="C44" i="7" s="1"/>
  <c r="F27" i="8" l="1"/>
  <c r="I75" i="10"/>
  <c r="I43" i="1"/>
  <c r="C8" i="14" s="1"/>
  <c r="Y39" i="4"/>
  <c r="Y41" i="1"/>
  <c r="AO38" i="9"/>
  <c r="P40" i="7"/>
  <c r="W40" i="4"/>
  <c r="AP38" i="10"/>
  <c r="AP38" i="12"/>
  <c r="X40" i="4"/>
  <c r="AO38" i="12"/>
  <c r="AO38" i="10"/>
  <c r="Y39" i="7"/>
  <c r="O49" i="9"/>
  <c r="O50" i="9" s="1"/>
  <c r="O51" i="9" s="1"/>
  <c r="O52" i="9" s="1"/>
  <c r="O53" i="9" s="1"/>
  <c r="O54" i="9" s="1"/>
  <c r="O55" i="9" s="1"/>
  <c r="O56" i="9" s="1"/>
  <c r="O57" i="9" s="1"/>
  <c r="O58" i="9" s="1"/>
  <c r="O59" i="9" s="1"/>
  <c r="O60" i="9" s="1"/>
  <c r="O61" i="9" s="1"/>
  <c r="O62" i="9" s="1"/>
  <c r="B40" i="9"/>
  <c r="Z39" i="9"/>
  <c r="AG39" i="9" s="1"/>
  <c r="AN38" i="9"/>
  <c r="J43" i="1"/>
  <c r="K43" i="1" s="1"/>
  <c r="L43" i="1" s="1"/>
  <c r="P43" i="1"/>
  <c r="T43" i="1"/>
  <c r="AZ40" i="12"/>
  <c r="H41" i="12" s="1"/>
  <c r="Y41" i="12" s="1"/>
  <c r="H43" i="9"/>
  <c r="Y43" i="9" s="1"/>
  <c r="AJ41" i="4"/>
  <c r="AT41" i="4"/>
  <c r="AU41" i="4" s="1"/>
  <c r="J41" i="4"/>
  <c r="K41" i="4" s="1"/>
  <c r="L41" i="4" s="1"/>
  <c r="AD41" i="4"/>
  <c r="AI41" i="4"/>
  <c r="Q41" i="4"/>
  <c r="V41" i="4"/>
  <c r="AG41" i="4"/>
  <c r="T41" i="4"/>
  <c r="AH43" i="7"/>
  <c r="H44" i="7" s="1"/>
  <c r="AX40" i="12"/>
  <c r="F41" i="12" s="1"/>
  <c r="W41" i="12" s="1"/>
  <c r="J39" i="12"/>
  <c r="K39" i="12" s="1"/>
  <c r="L39" i="12" s="1"/>
  <c r="C43" i="9"/>
  <c r="T43" i="9" s="1"/>
  <c r="J42" i="1"/>
  <c r="K42" i="1" s="1"/>
  <c r="L42" i="1" s="1"/>
  <c r="P42" i="1"/>
  <c r="T42" i="1"/>
  <c r="Q42" i="1"/>
  <c r="AC41" i="4"/>
  <c r="Z39" i="12"/>
  <c r="BO39" i="12" s="1"/>
  <c r="AT39" i="12"/>
  <c r="B40" i="12" s="1"/>
  <c r="J39" i="10"/>
  <c r="K39" i="10" s="1"/>
  <c r="L39" i="10" s="1"/>
  <c r="AC44" i="7"/>
  <c r="C45" i="7" s="1"/>
  <c r="C44" i="1"/>
  <c r="Q43" i="1"/>
  <c r="BH40" i="10"/>
  <c r="F41" i="10" s="1"/>
  <c r="W41" i="10" s="1"/>
  <c r="I42" i="4"/>
  <c r="AC42" i="4" s="1"/>
  <c r="B45" i="1"/>
  <c r="V43" i="1"/>
  <c r="H44" i="1"/>
  <c r="BE40" i="10"/>
  <c r="C41" i="10" s="1"/>
  <c r="T41" i="10" s="1"/>
  <c r="F43" i="9"/>
  <c r="W43" i="9" s="1"/>
  <c r="AU40" i="12"/>
  <c r="C41" i="12" s="1"/>
  <c r="T41" i="12" s="1"/>
  <c r="BD39" i="10"/>
  <c r="B40" i="10" s="1"/>
  <c r="Z39" i="10"/>
  <c r="AT39" i="10" s="1"/>
  <c r="J40" i="7"/>
  <c r="K40" i="7" s="1"/>
  <c r="L40" i="7" s="1"/>
  <c r="Q40" i="7"/>
  <c r="V40" i="7"/>
  <c r="T40" i="7"/>
  <c r="F45" i="1"/>
  <c r="P41" i="4"/>
  <c r="AF43" i="7"/>
  <c r="F44" i="7" s="1"/>
  <c r="BJ40" i="10"/>
  <c r="H41" i="10" s="1"/>
  <c r="Y41" i="10" s="1"/>
  <c r="V42" i="1"/>
  <c r="AI40" i="7"/>
  <c r="AJ40" i="7" s="1"/>
  <c r="B41" i="7"/>
  <c r="O63" i="9" l="1"/>
  <c r="O64" i="9" s="1"/>
  <c r="O65" i="9" s="1"/>
  <c r="AQ38" i="12"/>
  <c r="Y40" i="4"/>
  <c r="X41" i="4"/>
  <c r="W40" i="7"/>
  <c r="P42" i="4"/>
  <c r="B7" i="14"/>
  <c r="AQ38" i="10"/>
  <c r="X43" i="1"/>
  <c r="W43" i="1"/>
  <c r="I44" i="1"/>
  <c r="C9" i="14" s="1"/>
  <c r="X42" i="1"/>
  <c r="W42" i="1"/>
  <c r="AP38" i="9"/>
  <c r="X40" i="7"/>
  <c r="W41" i="4"/>
  <c r="AH39" i="12"/>
  <c r="AD39" i="9"/>
  <c r="AK39" i="9"/>
  <c r="AM39" i="9"/>
  <c r="AA39" i="9"/>
  <c r="AB39" i="9" s="1"/>
  <c r="AC39" i="9" s="1"/>
  <c r="AH39" i="9"/>
  <c r="S40" i="9"/>
  <c r="I40" i="9"/>
  <c r="J40" i="9" s="1"/>
  <c r="K40" i="9" s="1"/>
  <c r="L40" i="9" s="1"/>
  <c r="P44" i="1"/>
  <c r="T44" i="1"/>
  <c r="AF44" i="7"/>
  <c r="F45" i="7" s="1"/>
  <c r="F44" i="9"/>
  <c r="W44" i="9" s="1"/>
  <c r="BJ41" i="10"/>
  <c r="H42" i="10" s="1"/>
  <c r="Y42" i="10" s="1"/>
  <c r="AU41" i="12"/>
  <c r="C42" i="12" s="1"/>
  <c r="T42" i="12" s="1"/>
  <c r="AT42" i="4"/>
  <c r="J42" i="4"/>
  <c r="K42" i="4" s="1"/>
  <c r="L42" i="4" s="1"/>
  <c r="AJ42" i="4"/>
  <c r="V42" i="4"/>
  <c r="AI42" i="4"/>
  <c r="AD42" i="4"/>
  <c r="Q42" i="4"/>
  <c r="T42" i="4"/>
  <c r="AG42" i="4"/>
  <c r="BH41" i="10"/>
  <c r="F42" i="10" s="1"/>
  <c r="W42" i="10" s="1"/>
  <c r="AA39" i="12"/>
  <c r="AB39" i="12" s="1"/>
  <c r="AC39" i="12" s="1"/>
  <c r="BA39" i="12"/>
  <c r="AD39" i="12"/>
  <c r="BV39" i="12"/>
  <c r="BB39" i="12"/>
  <c r="AL39" i="12"/>
  <c r="BU39" i="12"/>
  <c r="AN39" i="12"/>
  <c r="BS39" i="12"/>
  <c r="AI39" i="12"/>
  <c r="BP39" i="12"/>
  <c r="AH44" i="7"/>
  <c r="H45" i="7" s="1"/>
  <c r="I41" i="7"/>
  <c r="AB41" i="7"/>
  <c r="F46" i="1"/>
  <c r="S40" i="10"/>
  <c r="I40" i="10"/>
  <c r="BE41" i="10"/>
  <c r="C42" i="10" s="1"/>
  <c r="T42" i="10" s="1"/>
  <c r="AC45" i="7"/>
  <c r="C46" i="7" s="1"/>
  <c r="C44" i="9"/>
  <c r="T44" i="9" s="1"/>
  <c r="AA39" i="10"/>
  <c r="AB39" i="10" s="1"/>
  <c r="AC39" i="10" s="1"/>
  <c r="BK39" i="10"/>
  <c r="BA39" i="10"/>
  <c r="BL39" i="10"/>
  <c r="AD39" i="10"/>
  <c r="AN39" i="10"/>
  <c r="AI39" i="10"/>
  <c r="AZ39" i="10"/>
  <c r="AX39" i="10"/>
  <c r="AU39" i="10"/>
  <c r="AL39" i="10"/>
  <c r="H45" i="1"/>
  <c r="V44" i="1"/>
  <c r="B46" i="1"/>
  <c r="C45" i="1"/>
  <c r="Q44" i="1"/>
  <c r="AX41" i="12"/>
  <c r="F42" i="12" s="1"/>
  <c r="W42" i="12" s="1"/>
  <c r="AZ41" i="12"/>
  <c r="H42" i="12" s="1"/>
  <c r="Y42" i="12" s="1"/>
  <c r="AH39" i="10"/>
  <c r="S40" i="12"/>
  <c r="I40" i="12"/>
  <c r="H44" i="9"/>
  <c r="Y44" i="9" s="1"/>
  <c r="O67" i="9" l="1"/>
  <c r="I72" i="9" s="1"/>
  <c r="C27" i="8" s="1"/>
  <c r="G27" i="8" s="1"/>
  <c r="J44" i="1"/>
  <c r="K44" i="1" s="1"/>
  <c r="L44" i="1" s="1"/>
  <c r="Y41" i="4"/>
  <c r="O66" i="9"/>
  <c r="Y42" i="1"/>
  <c r="I45" i="1"/>
  <c r="C10" i="14" s="1"/>
  <c r="W42" i="4"/>
  <c r="AO39" i="9"/>
  <c r="Y40" i="7"/>
  <c r="P41" i="7"/>
  <c r="D6" i="14"/>
  <c r="X44" i="1"/>
  <c r="W44" i="1"/>
  <c r="Y43" i="1"/>
  <c r="X42" i="4"/>
  <c r="Y42" i="4" s="1"/>
  <c r="AP39" i="10"/>
  <c r="AP39" i="12"/>
  <c r="AO39" i="12"/>
  <c r="AO39" i="10"/>
  <c r="AN39" i="9"/>
  <c r="B41" i="9"/>
  <c r="Z40" i="9"/>
  <c r="Z40" i="12"/>
  <c r="BO40" i="12" s="1"/>
  <c r="AT40" i="12"/>
  <c r="B41" i="12" s="1"/>
  <c r="H46" i="1"/>
  <c r="AC46" i="7"/>
  <c r="C47" i="7" s="1"/>
  <c r="AU42" i="12"/>
  <c r="C43" i="12" s="1"/>
  <c r="T43" i="12" s="1"/>
  <c r="C45" i="9"/>
  <c r="T45" i="9" s="1"/>
  <c r="J40" i="10"/>
  <c r="K40" i="10" s="1"/>
  <c r="L40" i="10" s="1"/>
  <c r="G47" i="1"/>
  <c r="AU42" i="4"/>
  <c r="AN42" i="4"/>
  <c r="C43" i="4" s="1"/>
  <c r="AS42" i="4"/>
  <c r="H43" i="4" s="1"/>
  <c r="AM42" i="4"/>
  <c r="B43" i="4" s="1"/>
  <c r="AQ42" i="4"/>
  <c r="F43" i="4" s="1"/>
  <c r="F45" i="9"/>
  <c r="W45" i="9" s="1"/>
  <c r="H45" i="9"/>
  <c r="Y45" i="9" s="1"/>
  <c r="J40" i="12"/>
  <c r="K40" i="12" s="1"/>
  <c r="L40" i="12" s="1"/>
  <c r="AX42" i="12"/>
  <c r="F43" i="12" s="1"/>
  <c r="W43" i="12" s="1"/>
  <c r="B47" i="1"/>
  <c r="BD40" i="10"/>
  <c r="B41" i="10" s="1"/>
  <c r="Z40" i="10"/>
  <c r="AH40" i="10" s="1"/>
  <c r="B42" i="7"/>
  <c r="AI41" i="7"/>
  <c r="AJ41" i="7" s="1"/>
  <c r="AH45" i="7"/>
  <c r="H46" i="7" s="1"/>
  <c r="AZ42" i="12"/>
  <c r="H43" i="12" s="1"/>
  <c r="Y43" i="12" s="1"/>
  <c r="C46" i="1"/>
  <c r="J41" i="7"/>
  <c r="K41" i="7" s="1"/>
  <c r="L41" i="7" s="1"/>
  <c r="Q41" i="7"/>
  <c r="T41" i="7"/>
  <c r="V41" i="7"/>
  <c r="AF45" i="7"/>
  <c r="I75" i="9" l="1"/>
  <c r="H27" i="8"/>
  <c r="AQ39" i="10"/>
  <c r="V45" i="1"/>
  <c r="I46" i="1"/>
  <c r="C11" i="14" s="1"/>
  <c r="Q45" i="1"/>
  <c r="P45" i="1"/>
  <c r="X45" i="1" s="1"/>
  <c r="T45" i="1"/>
  <c r="J45" i="1"/>
  <c r="K45" i="1" s="1"/>
  <c r="L45" i="1" s="1"/>
  <c r="Y44" i="1"/>
  <c r="AP39" i="9"/>
  <c r="AQ39" i="12"/>
  <c r="X41" i="7"/>
  <c r="W41" i="7"/>
  <c r="AH40" i="12"/>
  <c r="S41" i="9"/>
  <c r="I41" i="9"/>
  <c r="J41" i="9" s="1"/>
  <c r="K41" i="9" s="1"/>
  <c r="L41" i="9" s="1"/>
  <c r="AG40" i="9"/>
  <c r="AA40" i="9"/>
  <c r="AB40" i="9" s="1"/>
  <c r="AC40" i="9" s="1"/>
  <c r="AM40" i="9"/>
  <c r="AD40" i="9"/>
  <c r="AH40" i="9"/>
  <c r="AK40" i="9"/>
  <c r="J46" i="1"/>
  <c r="K46" i="1" s="1"/>
  <c r="L46" i="1" s="1"/>
  <c r="T46" i="1"/>
  <c r="B48" i="1"/>
  <c r="AT40" i="10"/>
  <c r="AX43" i="12"/>
  <c r="F44" i="12" s="1"/>
  <c r="W44" i="12" s="1"/>
  <c r="H46" i="9"/>
  <c r="Y46" i="9" s="1"/>
  <c r="AM43" i="4"/>
  <c r="B44" i="4" s="1"/>
  <c r="I43" i="4"/>
  <c r="AC43" i="4" s="1"/>
  <c r="G47" i="7"/>
  <c r="F46" i="7"/>
  <c r="C47" i="1"/>
  <c r="AB42" i="7"/>
  <c r="I42" i="7"/>
  <c r="AS43" i="4"/>
  <c r="H44" i="4" s="1"/>
  <c r="G48" i="1"/>
  <c r="AU43" i="12"/>
  <c r="C44" i="12" s="1"/>
  <c r="T44" i="12" s="1"/>
  <c r="H47" i="1"/>
  <c r="V46" i="1"/>
  <c r="S41" i="12"/>
  <c r="I41" i="12"/>
  <c r="AZ43" i="12"/>
  <c r="H44" i="12" s="1"/>
  <c r="Y44" i="12" s="1"/>
  <c r="S41" i="10"/>
  <c r="I41" i="10"/>
  <c r="AH46" i="7"/>
  <c r="H47" i="7" s="1"/>
  <c r="F46" i="9"/>
  <c r="W46" i="9" s="1"/>
  <c r="AN43" i="4"/>
  <c r="C44" i="4" s="1"/>
  <c r="C46" i="9"/>
  <c r="T46" i="9" s="1"/>
  <c r="AA40" i="12"/>
  <c r="AB40" i="12" s="1"/>
  <c r="AC40" i="12" s="1"/>
  <c r="AD40" i="12"/>
  <c r="BA40" i="12"/>
  <c r="BB40" i="12"/>
  <c r="BV40" i="12"/>
  <c r="AI40" i="12"/>
  <c r="BP40" i="12"/>
  <c r="AN40" i="12"/>
  <c r="BS40" i="12"/>
  <c r="BU40" i="12"/>
  <c r="AL40" i="12"/>
  <c r="AA40" i="10"/>
  <c r="AB40" i="10" s="1"/>
  <c r="AC40" i="10" s="1"/>
  <c r="BK40" i="10"/>
  <c r="AD40" i="10"/>
  <c r="BL40" i="10"/>
  <c r="BA40" i="10"/>
  <c r="AX40" i="10"/>
  <c r="AU40" i="10"/>
  <c r="AN40" i="10"/>
  <c r="AL40" i="10"/>
  <c r="AZ40" i="10"/>
  <c r="AI40" i="10"/>
  <c r="AQ43" i="4"/>
  <c r="F44" i="4" s="1"/>
  <c r="AC47" i="7"/>
  <c r="Q46" i="1" l="1"/>
  <c r="W45" i="1"/>
  <c r="P46" i="1"/>
  <c r="AI43" i="4"/>
  <c r="T43" i="4"/>
  <c r="Y41" i="7"/>
  <c r="AD43" i="4"/>
  <c r="AG43" i="4"/>
  <c r="Q43" i="4"/>
  <c r="I47" i="1"/>
  <c r="C12" i="14" s="1"/>
  <c r="P43" i="4"/>
  <c r="B8" i="14"/>
  <c r="P42" i="7"/>
  <c r="D7" i="14"/>
  <c r="Y45" i="1"/>
  <c r="X46" i="1"/>
  <c r="W46" i="1"/>
  <c r="AO40" i="9"/>
  <c r="AP40" i="10"/>
  <c r="AP40" i="12"/>
  <c r="AO40" i="10"/>
  <c r="AO40" i="12"/>
  <c r="B42" i="9"/>
  <c r="Z41" i="9"/>
  <c r="AN40" i="9"/>
  <c r="J47" i="1"/>
  <c r="K47" i="1" s="1"/>
  <c r="L47" i="1" s="1"/>
  <c r="AH47" i="7"/>
  <c r="H48" i="7" s="1"/>
  <c r="Z41" i="12"/>
  <c r="AH41" i="12" s="1"/>
  <c r="AT41" i="12"/>
  <c r="B42" i="12" s="1"/>
  <c r="AS44" i="4"/>
  <c r="H45" i="4" s="1"/>
  <c r="B43" i="7"/>
  <c r="AI42" i="7"/>
  <c r="AJ42" i="7" s="1"/>
  <c r="AF46" i="7"/>
  <c r="H47" i="9"/>
  <c r="AU44" i="12"/>
  <c r="C45" i="12" s="1"/>
  <c r="T45" i="12" s="1"/>
  <c r="AG47" i="7"/>
  <c r="G48" i="7" s="1"/>
  <c r="AT43" i="4"/>
  <c r="AU43" i="4" s="1"/>
  <c r="AJ43" i="4"/>
  <c r="J43" i="4"/>
  <c r="K43" i="4" s="1"/>
  <c r="L43" i="4" s="1"/>
  <c r="AQ44" i="4"/>
  <c r="F45" i="4" s="1"/>
  <c r="D49" i="7"/>
  <c r="C48" i="7"/>
  <c r="E49" i="7"/>
  <c r="C47" i="9"/>
  <c r="J41" i="10"/>
  <c r="K41" i="10" s="1"/>
  <c r="L41" i="10" s="1"/>
  <c r="AZ44" i="12"/>
  <c r="H45" i="12" s="1"/>
  <c r="Y45" i="12" s="1"/>
  <c r="H48" i="1"/>
  <c r="G49" i="1"/>
  <c r="V43" i="4"/>
  <c r="AM44" i="4"/>
  <c r="B45" i="4" s="1"/>
  <c r="I44" i="4"/>
  <c r="AN44" i="4"/>
  <c r="C45" i="4" s="1"/>
  <c r="G47" i="9"/>
  <c r="BD41" i="10"/>
  <c r="B42" i="10" s="1"/>
  <c r="Z41" i="10"/>
  <c r="AT41" i="10" s="1"/>
  <c r="J41" i="12"/>
  <c r="K41" i="12" s="1"/>
  <c r="L41" i="12" s="1"/>
  <c r="J42" i="7"/>
  <c r="K42" i="7" s="1"/>
  <c r="L42" i="7" s="1"/>
  <c r="Q42" i="7"/>
  <c r="T42" i="7"/>
  <c r="V42" i="7"/>
  <c r="C48" i="1"/>
  <c r="AX44" i="12"/>
  <c r="F45" i="12" s="1"/>
  <c r="W45" i="12" s="1"/>
  <c r="B49" i="1"/>
  <c r="Y46" i="1" l="1"/>
  <c r="I48" i="1"/>
  <c r="C13" i="14" s="1"/>
  <c r="V47" i="1"/>
  <c r="Q47" i="1"/>
  <c r="W43" i="4"/>
  <c r="P47" i="1"/>
  <c r="U47" i="1"/>
  <c r="AQ40" i="10"/>
  <c r="X43" i="4"/>
  <c r="AI44" i="4"/>
  <c r="B9" i="14"/>
  <c r="AP40" i="9"/>
  <c r="AQ40" i="12"/>
  <c r="AH41" i="10"/>
  <c r="W42" i="7"/>
  <c r="X42" i="7"/>
  <c r="AD44" i="4"/>
  <c r="X47" i="9"/>
  <c r="T47" i="9"/>
  <c r="Y47" i="9"/>
  <c r="BO41" i="12"/>
  <c r="AH41" i="9"/>
  <c r="AM41" i="9"/>
  <c r="AA41" i="9"/>
  <c r="AB41" i="9" s="1"/>
  <c r="AC41" i="9" s="1"/>
  <c r="AK41" i="9"/>
  <c r="AD41" i="9"/>
  <c r="I42" i="9"/>
  <c r="J42" i="9" s="1"/>
  <c r="K42" i="9" s="1"/>
  <c r="L42" i="9" s="1"/>
  <c r="S42" i="9"/>
  <c r="AG41" i="9"/>
  <c r="J48" i="1"/>
  <c r="K48" i="1" s="1"/>
  <c r="L48" i="1" s="1"/>
  <c r="P48" i="1"/>
  <c r="AX45" i="12"/>
  <c r="F46" i="12" s="1"/>
  <c r="W46" i="12" s="1"/>
  <c r="S42" i="10"/>
  <c r="I42" i="10"/>
  <c r="Q44" i="4"/>
  <c r="AM45" i="4"/>
  <c r="B46" i="4" s="1"/>
  <c r="I45" i="4"/>
  <c r="P45" i="4" s="1"/>
  <c r="G50" i="1"/>
  <c r="AC48" i="7"/>
  <c r="T44" i="4"/>
  <c r="AB43" i="7"/>
  <c r="I43" i="7"/>
  <c r="D8" i="14" s="1"/>
  <c r="D49" i="1"/>
  <c r="E49" i="1"/>
  <c r="Q48" i="1"/>
  <c r="AN45" i="4"/>
  <c r="C46" i="4" s="1"/>
  <c r="AC44" i="4"/>
  <c r="U48" i="1"/>
  <c r="AD49" i="7"/>
  <c r="D50" i="7" s="1"/>
  <c r="V44" i="4"/>
  <c r="AH48" i="7"/>
  <c r="H49" i="7" s="1"/>
  <c r="B50" i="1"/>
  <c r="AA41" i="10"/>
  <c r="AB41" i="10" s="1"/>
  <c r="AC41" i="10" s="1"/>
  <c r="BL41" i="10"/>
  <c r="BK41" i="10"/>
  <c r="AD41" i="10"/>
  <c r="BA41" i="10"/>
  <c r="AX41" i="10"/>
  <c r="AU41" i="10"/>
  <c r="AZ41" i="10"/>
  <c r="AL41" i="10"/>
  <c r="AI41" i="10"/>
  <c r="AN41" i="10"/>
  <c r="P44" i="4"/>
  <c r="H49" i="1"/>
  <c r="V48" i="1"/>
  <c r="AZ45" i="12"/>
  <c r="H46" i="12" s="1"/>
  <c r="Y46" i="12" s="1"/>
  <c r="AG44" i="4"/>
  <c r="AU45" i="12"/>
  <c r="C46" i="12" s="1"/>
  <c r="T46" i="12" s="1"/>
  <c r="S42" i="12"/>
  <c r="I42" i="12"/>
  <c r="AJ44" i="4"/>
  <c r="AT44" i="4"/>
  <c r="AU44" i="4" s="1"/>
  <c r="J44" i="4"/>
  <c r="K44" i="4" s="1"/>
  <c r="L44" i="4" s="1"/>
  <c r="AE49" i="7"/>
  <c r="E50" i="7" s="1"/>
  <c r="AQ45" i="4"/>
  <c r="F46" i="4" s="1"/>
  <c r="AG48" i="7"/>
  <c r="G49" i="7" s="1"/>
  <c r="AS45" i="4"/>
  <c r="H46" i="4" s="1"/>
  <c r="AA41" i="12"/>
  <c r="AB41" i="12" s="1"/>
  <c r="AC41" i="12" s="1"/>
  <c r="BV41" i="12"/>
  <c r="AD41" i="12"/>
  <c r="BA41" i="12"/>
  <c r="BB41" i="12"/>
  <c r="BP41" i="12"/>
  <c r="AI41" i="12"/>
  <c r="BU41" i="12"/>
  <c r="AL41" i="12"/>
  <c r="AN41" i="12"/>
  <c r="BS41" i="12"/>
  <c r="Y43" i="4" l="1"/>
  <c r="T45" i="4"/>
  <c r="AD45" i="4"/>
  <c r="W47" i="1"/>
  <c r="Y47" i="1" s="1"/>
  <c r="AI45" i="4"/>
  <c r="X47" i="1"/>
  <c r="Q45" i="4"/>
  <c r="AO41" i="9"/>
  <c r="X44" i="4"/>
  <c r="AP41" i="10"/>
  <c r="AG45" i="4"/>
  <c r="B10" i="14"/>
  <c r="Y42" i="7"/>
  <c r="X48" i="1"/>
  <c r="W48" i="1"/>
  <c r="AP41" i="12"/>
  <c r="AO41" i="12"/>
  <c r="AO41" i="10"/>
  <c r="W44" i="4"/>
  <c r="V45" i="4"/>
  <c r="G48" i="9"/>
  <c r="X48" i="9" s="1"/>
  <c r="H48" i="9"/>
  <c r="Y48" i="9" s="1"/>
  <c r="H49" i="9" s="1"/>
  <c r="Y49" i="9" s="1"/>
  <c r="C48" i="9"/>
  <c r="T48" i="9" s="1"/>
  <c r="E49" i="9" s="1"/>
  <c r="V49" i="9" s="1"/>
  <c r="AN41" i="9"/>
  <c r="Z42" i="9"/>
  <c r="B43" i="9"/>
  <c r="Z42" i="12"/>
  <c r="BO42" i="12" s="1"/>
  <c r="AT42" i="12"/>
  <c r="B43" i="12" s="1"/>
  <c r="B51" i="1"/>
  <c r="J42" i="10"/>
  <c r="K42" i="10" s="1"/>
  <c r="L42" i="10" s="1"/>
  <c r="AX46" i="12"/>
  <c r="G47" i="12" s="1"/>
  <c r="AZ46" i="12"/>
  <c r="H47" i="12" s="1"/>
  <c r="Y47" i="12" s="1"/>
  <c r="E50" i="1"/>
  <c r="J43" i="7"/>
  <c r="K43" i="7" s="1"/>
  <c r="L43" i="7" s="1"/>
  <c r="Q43" i="7"/>
  <c r="V43" i="7"/>
  <c r="T43" i="7"/>
  <c r="AJ45" i="4"/>
  <c r="AT45" i="4"/>
  <c r="AU45" i="4" s="1"/>
  <c r="J45" i="4"/>
  <c r="K45" i="4" s="1"/>
  <c r="L45" i="4" s="1"/>
  <c r="Z42" i="10"/>
  <c r="AT42" i="10" s="1"/>
  <c r="AG49" i="7"/>
  <c r="G50" i="7" s="1"/>
  <c r="I49" i="1"/>
  <c r="C14" i="14" s="1"/>
  <c r="AD50" i="7"/>
  <c r="D51" i="7" s="1"/>
  <c r="D50" i="1"/>
  <c r="AI43" i="7"/>
  <c r="AJ43" i="7" s="1"/>
  <c r="B44" i="7"/>
  <c r="G51" i="1"/>
  <c r="I46" i="4"/>
  <c r="P46" i="4" s="1"/>
  <c r="AE50" i="7"/>
  <c r="E51" i="7" s="1"/>
  <c r="J42" i="12"/>
  <c r="K42" i="12" s="1"/>
  <c r="L42" i="12" s="1"/>
  <c r="AU46" i="12"/>
  <c r="C47" i="12" s="1"/>
  <c r="T47" i="12" s="1"/>
  <c r="H50" i="1"/>
  <c r="AH49" i="7"/>
  <c r="H50" i="7" s="1"/>
  <c r="P43" i="7"/>
  <c r="AC45" i="4"/>
  <c r="X45" i="4" l="1"/>
  <c r="AP41" i="9"/>
  <c r="W45" i="4"/>
  <c r="V49" i="1"/>
  <c r="AI46" i="4"/>
  <c r="Y48" i="1"/>
  <c r="Y44" i="4"/>
  <c r="R49" i="1"/>
  <c r="AQ41" i="10"/>
  <c r="AD46" i="4"/>
  <c r="B11" i="14"/>
  <c r="I50" i="1"/>
  <c r="C15" i="14" s="1"/>
  <c r="AQ41" i="12"/>
  <c r="X43" i="7"/>
  <c r="W43" i="7"/>
  <c r="G49" i="9"/>
  <c r="X49" i="9" s="1"/>
  <c r="D49" i="9"/>
  <c r="U49" i="9" s="1"/>
  <c r="D50" i="9" s="1"/>
  <c r="U50" i="9" s="1"/>
  <c r="AH42" i="12"/>
  <c r="AD42" i="9"/>
  <c r="AG42" i="9"/>
  <c r="AM42" i="9"/>
  <c r="AK42" i="9"/>
  <c r="AA42" i="9"/>
  <c r="AB42" i="9" s="1"/>
  <c r="AC42" i="9" s="1"/>
  <c r="AH42" i="9"/>
  <c r="S43" i="9"/>
  <c r="I43" i="9"/>
  <c r="J43" i="9" s="1"/>
  <c r="K43" i="9" s="1"/>
  <c r="L43" i="9" s="1"/>
  <c r="U50" i="1"/>
  <c r="AE51" i="7"/>
  <c r="E52" i="7" s="1"/>
  <c r="E51" i="1"/>
  <c r="H51" i="1"/>
  <c r="AU47" i="12"/>
  <c r="C48" i="12" s="1"/>
  <c r="T48" i="12" s="1"/>
  <c r="AC46" i="4"/>
  <c r="AB44" i="7"/>
  <c r="I44" i="7"/>
  <c r="BK42" i="10"/>
  <c r="AD42" i="10"/>
  <c r="AA42" i="10"/>
  <c r="AB42" i="10" s="1"/>
  <c r="AC42" i="10" s="1"/>
  <c r="BA42" i="10"/>
  <c r="AX42" i="10"/>
  <c r="AN42" i="10"/>
  <c r="AL42" i="10"/>
  <c r="AZ42" i="10"/>
  <c r="AI42" i="10"/>
  <c r="AU42" i="10"/>
  <c r="AZ47" i="12"/>
  <c r="H48" i="12" s="1"/>
  <c r="Y48" i="12" s="1"/>
  <c r="J46" i="4"/>
  <c r="K46" i="4" s="1"/>
  <c r="L46" i="4" s="1"/>
  <c r="AT46" i="4"/>
  <c r="AJ46" i="4"/>
  <c r="AD51" i="7"/>
  <c r="D52" i="7" s="1"/>
  <c r="AG50" i="7"/>
  <c r="G51" i="7" s="1"/>
  <c r="H50" i="9"/>
  <c r="Y50" i="9" s="1"/>
  <c r="Q46" i="4"/>
  <c r="AG46" i="4"/>
  <c r="X47" i="12"/>
  <c r="B52" i="1"/>
  <c r="S43" i="12"/>
  <c r="I43" i="12"/>
  <c r="AH50" i="7"/>
  <c r="H51" i="7" s="1"/>
  <c r="V46" i="4"/>
  <c r="G52" i="1"/>
  <c r="D51" i="1"/>
  <c r="J49" i="1"/>
  <c r="K49" i="1" s="1"/>
  <c r="L49" i="1" s="1"/>
  <c r="P49" i="1"/>
  <c r="U49" i="1"/>
  <c r="E50" i="9"/>
  <c r="V50" i="9" s="1"/>
  <c r="AH42" i="10"/>
  <c r="S49" i="1"/>
  <c r="T46" i="4"/>
  <c r="AA42" i="12"/>
  <c r="AB42" i="12" s="1"/>
  <c r="AC42" i="12" s="1"/>
  <c r="BA42" i="12"/>
  <c r="AD42" i="12"/>
  <c r="BV42" i="12"/>
  <c r="BB42" i="12"/>
  <c r="BP42" i="12"/>
  <c r="BS42" i="12"/>
  <c r="AN42" i="12"/>
  <c r="AL42" i="12"/>
  <c r="AI42" i="12"/>
  <c r="BU42" i="12"/>
  <c r="Y45" i="4" l="1"/>
  <c r="P50" i="1"/>
  <c r="W50" i="1" s="1"/>
  <c r="R50" i="1"/>
  <c r="V50" i="1"/>
  <c r="S50" i="1"/>
  <c r="J50" i="1"/>
  <c r="K50" i="1" s="1"/>
  <c r="L50" i="1" s="1"/>
  <c r="X46" i="4"/>
  <c r="X49" i="1"/>
  <c r="W49" i="1"/>
  <c r="X50" i="1"/>
  <c r="AO42" i="9"/>
  <c r="P44" i="7"/>
  <c r="D9" i="14"/>
  <c r="AP42" i="10"/>
  <c r="AP42" i="12"/>
  <c r="Y43" i="7"/>
  <c r="AO42" i="12"/>
  <c r="AO42" i="10"/>
  <c r="W46" i="4"/>
  <c r="G50" i="9"/>
  <c r="X50" i="9" s="1"/>
  <c r="Z43" i="9"/>
  <c r="B44" i="9"/>
  <c r="AN42" i="9"/>
  <c r="E51" i="9"/>
  <c r="V51" i="9" s="1"/>
  <c r="G53" i="1"/>
  <c r="J43" i="12"/>
  <c r="K43" i="12" s="1"/>
  <c r="L43" i="12" s="1"/>
  <c r="B53" i="1"/>
  <c r="BD42" i="10"/>
  <c r="BE42" i="10"/>
  <c r="C43" i="10" s="1"/>
  <c r="T43" i="10" s="1"/>
  <c r="BH42" i="10"/>
  <c r="F43" i="10" s="1"/>
  <c r="W43" i="10" s="1"/>
  <c r="BJ42" i="10"/>
  <c r="H43" i="10" s="1"/>
  <c r="Y43" i="10" s="1"/>
  <c r="D51" i="9"/>
  <c r="U51" i="9" s="1"/>
  <c r="Z43" i="12"/>
  <c r="AH43" i="12" s="1"/>
  <c r="AT43" i="12"/>
  <c r="B44" i="12" s="1"/>
  <c r="AG51" i="7"/>
  <c r="G52" i="7" s="1"/>
  <c r="AU46" i="4"/>
  <c r="AN46" i="4"/>
  <c r="C47" i="4" s="1"/>
  <c r="AS46" i="4"/>
  <c r="H47" i="4" s="1"/>
  <c r="AQ46" i="4"/>
  <c r="G47" i="4" s="1"/>
  <c r="AM46" i="4"/>
  <c r="B47" i="4" s="1"/>
  <c r="AZ48" i="12"/>
  <c r="H49" i="12" s="1"/>
  <c r="Y49" i="12" s="1"/>
  <c r="AI44" i="7"/>
  <c r="AJ44" i="7" s="1"/>
  <c r="B45" i="7"/>
  <c r="AU48" i="12"/>
  <c r="D52" i="1"/>
  <c r="I51" i="1"/>
  <c r="C16" i="14" s="1"/>
  <c r="H52" i="1"/>
  <c r="E52" i="1"/>
  <c r="AH51" i="7"/>
  <c r="H52" i="7" s="1"/>
  <c r="AY47" i="12"/>
  <c r="G48" i="12" s="1"/>
  <c r="H51" i="9"/>
  <c r="Y51" i="9" s="1"/>
  <c r="J44" i="7"/>
  <c r="K44" i="7" s="1"/>
  <c r="L44" i="7" s="1"/>
  <c r="Q44" i="7"/>
  <c r="T44" i="7"/>
  <c r="V44" i="7"/>
  <c r="Y46" i="4" l="1"/>
  <c r="Y49" i="1"/>
  <c r="Y50" i="1"/>
  <c r="V51" i="1"/>
  <c r="AP42" i="9"/>
  <c r="AQ42" i="10"/>
  <c r="AQ42" i="12"/>
  <c r="X44" i="7"/>
  <c r="W44" i="7"/>
  <c r="G51" i="9"/>
  <c r="X51" i="9" s="1"/>
  <c r="S44" i="9"/>
  <c r="I44" i="9"/>
  <c r="J44" i="9" s="1"/>
  <c r="K44" i="9" s="1"/>
  <c r="L44" i="9" s="1"/>
  <c r="AD43" i="9"/>
  <c r="AK43" i="9"/>
  <c r="AH43" i="9"/>
  <c r="AA43" i="9"/>
  <c r="AB43" i="9" s="1"/>
  <c r="AC43" i="9" s="1"/>
  <c r="AM43" i="9"/>
  <c r="AG43" i="9"/>
  <c r="H52" i="9"/>
  <c r="Y52" i="9" s="1"/>
  <c r="H53" i="1"/>
  <c r="J51" i="1"/>
  <c r="K51" i="1" s="1"/>
  <c r="L51" i="1" s="1"/>
  <c r="P51" i="1"/>
  <c r="U51" i="1"/>
  <c r="I45" i="7"/>
  <c r="AB45" i="7"/>
  <c r="AZ49" i="12"/>
  <c r="H50" i="12" s="1"/>
  <c r="Y50" i="12" s="1"/>
  <c r="AN47" i="4"/>
  <c r="C48" i="4" s="1"/>
  <c r="BO43" i="12"/>
  <c r="BE43" i="10"/>
  <c r="C44" i="10" s="1"/>
  <c r="T44" i="10" s="1"/>
  <c r="B54" i="1"/>
  <c r="E53" i="1"/>
  <c r="D53" i="1"/>
  <c r="AM47" i="4"/>
  <c r="B48" i="4" s="1"/>
  <c r="I47" i="4"/>
  <c r="B12" i="14" s="1"/>
  <c r="D52" i="9"/>
  <c r="U52" i="9" s="1"/>
  <c r="B43" i="10"/>
  <c r="BL42" i="10"/>
  <c r="X48" i="12"/>
  <c r="S51" i="1"/>
  <c r="R51" i="1"/>
  <c r="AR47" i="4"/>
  <c r="G48" i="4" s="1"/>
  <c r="S44" i="12"/>
  <c r="I44" i="12"/>
  <c r="BJ43" i="10"/>
  <c r="H44" i="10" s="1"/>
  <c r="Y44" i="10" s="1"/>
  <c r="I52" i="1"/>
  <c r="E52" i="9"/>
  <c r="V52" i="9" s="1"/>
  <c r="D49" i="12"/>
  <c r="U49" i="12" s="1"/>
  <c r="E49" i="12"/>
  <c r="V49" i="12" s="1"/>
  <c r="AS47" i="4"/>
  <c r="H48" i="4" s="1"/>
  <c r="AI47" i="4"/>
  <c r="AA43" i="12"/>
  <c r="AB43" i="12" s="1"/>
  <c r="AC43" i="12" s="1"/>
  <c r="AD43" i="12"/>
  <c r="BB43" i="12"/>
  <c r="BA43" i="12"/>
  <c r="BV43" i="12"/>
  <c r="AI43" i="12"/>
  <c r="AL43" i="12"/>
  <c r="BS43" i="12"/>
  <c r="BU43" i="12"/>
  <c r="BP43" i="12"/>
  <c r="AN43" i="12"/>
  <c r="BH43" i="10"/>
  <c r="F44" i="10" s="1"/>
  <c r="W44" i="10" s="1"/>
  <c r="G54" i="1"/>
  <c r="AO43" i="9" l="1"/>
  <c r="V47" i="4"/>
  <c r="AH47" i="4"/>
  <c r="U47" i="4"/>
  <c r="P47" i="4"/>
  <c r="X51" i="1"/>
  <c r="W51" i="1"/>
  <c r="S52" i="1"/>
  <c r="C17" i="14"/>
  <c r="Y44" i="7"/>
  <c r="AD47" i="4"/>
  <c r="P45" i="7"/>
  <c r="D10" i="14"/>
  <c r="AP43" i="12"/>
  <c r="AO43" i="12"/>
  <c r="G52" i="9"/>
  <c r="X52" i="9" s="1"/>
  <c r="AN43" i="9"/>
  <c r="AP43" i="9" s="1"/>
  <c r="B45" i="9"/>
  <c r="Z44" i="9"/>
  <c r="AT47" i="4"/>
  <c r="AU47" i="4" s="1"/>
  <c r="AJ47" i="4"/>
  <c r="J47" i="4"/>
  <c r="K47" i="4" s="1"/>
  <c r="L47" i="4" s="1"/>
  <c r="B55" i="1"/>
  <c r="BJ44" i="10"/>
  <c r="H45" i="10" s="1"/>
  <c r="Y45" i="10" s="1"/>
  <c r="AY48" i="12"/>
  <c r="G49" i="12" s="1"/>
  <c r="D53" i="9"/>
  <c r="U53" i="9" s="1"/>
  <c r="I48" i="4"/>
  <c r="Q48" i="4" s="1"/>
  <c r="E54" i="1"/>
  <c r="J45" i="7"/>
  <c r="K45" i="7" s="1"/>
  <c r="L45" i="7" s="1"/>
  <c r="Q45" i="7"/>
  <c r="T45" i="7"/>
  <c r="V45" i="7"/>
  <c r="H53" i="9"/>
  <c r="Y53" i="9" s="1"/>
  <c r="BH44" i="10"/>
  <c r="F45" i="10" s="1"/>
  <c r="W45" i="10" s="1"/>
  <c r="AW49" i="12"/>
  <c r="E50" i="12" s="1"/>
  <c r="V50" i="12" s="1"/>
  <c r="E53" i="9"/>
  <c r="V53" i="9" s="1"/>
  <c r="G55" i="1"/>
  <c r="AV49" i="12"/>
  <c r="D50" i="12" s="1"/>
  <c r="U50" i="12" s="1"/>
  <c r="J52" i="1"/>
  <c r="K52" i="1" s="1"/>
  <c r="L52" i="1" s="1"/>
  <c r="P52" i="1"/>
  <c r="U52" i="1"/>
  <c r="J44" i="12"/>
  <c r="K44" i="12" s="1"/>
  <c r="L44" i="12" s="1"/>
  <c r="U48" i="4"/>
  <c r="AC47" i="4"/>
  <c r="R52" i="1"/>
  <c r="AZ50" i="12"/>
  <c r="H51" i="12" s="1"/>
  <c r="Y51" i="12" s="1"/>
  <c r="V52" i="1"/>
  <c r="AT44" i="12"/>
  <c r="B45" i="12" s="1"/>
  <c r="Z44" i="12"/>
  <c r="AH44" i="12" s="1"/>
  <c r="S43" i="10"/>
  <c r="I43" i="10"/>
  <c r="D54" i="1"/>
  <c r="I53" i="1"/>
  <c r="C18" i="14" s="1"/>
  <c r="BE44" i="10"/>
  <c r="C45" i="10" s="1"/>
  <c r="T45" i="10" s="1"/>
  <c r="Q47" i="4"/>
  <c r="B46" i="7"/>
  <c r="AI45" i="7"/>
  <c r="AJ45" i="7" s="1"/>
  <c r="H54" i="1"/>
  <c r="I54" i="1" l="1"/>
  <c r="C19" i="14" s="1"/>
  <c r="W47" i="4"/>
  <c r="AI48" i="4"/>
  <c r="B13" i="14"/>
  <c r="R53" i="1"/>
  <c r="X47" i="4"/>
  <c r="Y47" i="4" s="1"/>
  <c r="V53" i="1"/>
  <c r="Y51" i="1"/>
  <c r="X52" i="1"/>
  <c r="W52" i="1"/>
  <c r="AQ43" i="12"/>
  <c r="X45" i="7"/>
  <c r="W45" i="7"/>
  <c r="G53" i="9"/>
  <c r="X53" i="9" s="1"/>
  <c r="BO44" i="12"/>
  <c r="AK44" i="9"/>
  <c r="AA44" i="9"/>
  <c r="AB44" i="9" s="1"/>
  <c r="AC44" i="9" s="1"/>
  <c r="AD44" i="9"/>
  <c r="AH44" i="9"/>
  <c r="AM44" i="9"/>
  <c r="S45" i="9"/>
  <c r="I45" i="9"/>
  <c r="J45" i="9" s="1"/>
  <c r="K45" i="9" s="1"/>
  <c r="L45" i="9" s="1"/>
  <c r="AG44" i="9"/>
  <c r="P54" i="1"/>
  <c r="BD43" i="10"/>
  <c r="B44" i="10" s="1"/>
  <c r="Z43" i="10"/>
  <c r="AT43" i="10" s="1"/>
  <c r="AV50" i="12"/>
  <c r="D51" i="12" s="1"/>
  <c r="U51" i="12" s="1"/>
  <c r="E54" i="9"/>
  <c r="V54" i="9" s="1"/>
  <c r="H54" i="9"/>
  <c r="Y54" i="9" s="1"/>
  <c r="AC48" i="4"/>
  <c r="I46" i="7"/>
  <c r="AB46" i="7"/>
  <c r="G56" i="1"/>
  <c r="E55" i="1"/>
  <c r="P48" i="4"/>
  <c r="X48" i="4" s="1"/>
  <c r="X49" i="12"/>
  <c r="B56" i="1"/>
  <c r="V48" i="4"/>
  <c r="BE45" i="10"/>
  <c r="C46" i="10" s="1"/>
  <c r="T46" i="10" s="1"/>
  <c r="AZ51" i="12"/>
  <c r="H52" i="12" s="1"/>
  <c r="Y52" i="12" s="1"/>
  <c r="H55" i="1"/>
  <c r="J53" i="1"/>
  <c r="K53" i="1" s="1"/>
  <c r="L53" i="1" s="1"/>
  <c r="P53" i="1"/>
  <c r="U53" i="1"/>
  <c r="J43" i="10"/>
  <c r="K43" i="10" s="1"/>
  <c r="L43" i="10" s="1"/>
  <c r="AA44" i="12"/>
  <c r="AB44" i="12" s="1"/>
  <c r="AC44" i="12" s="1"/>
  <c r="BB44" i="12"/>
  <c r="BV44" i="12"/>
  <c r="AD44" i="12"/>
  <c r="BA44" i="12"/>
  <c r="BS44" i="12"/>
  <c r="AL44" i="12"/>
  <c r="AI44" i="12"/>
  <c r="BU44" i="12"/>
  <c r="BP44" i="12"/>
  <c r="AN44" i="12"/>
  <c r="AD48" i="4"/>
  <c r="AH48" i="4"/>
  <c r="BH45" i="10"/>
  <c r="F46" i="10" s="1"/>
  <c r="W46" i="10" s="1"/>
  <c r="S53" i="1"/>
  <c r="BJ45" i="10"/>
  <c r="H46" i="10" s="1"/>
  <c r="Y46" i="10" s="1"/>
  <c r="D55" i="1"/>
  <c r="S45" i="12"/>
  <c r="I45" i="12"/>
  <c r="AW50" i="12"/>
  <c r="E51" i="12" s="1"/>
  <c r="V51" i="12" s="1"/>
  <c r="J48" i="4"/>
  <c r="K48" i="4" s="1"/>
  <c r="L48" i="4" s="1"/>
  <c r="AT48" i="4"/>
  <c r="AJ48" i="4"/>
  <c r="D54" i="9"/>
  <c r="U54" i="9" s="1"/>
  <c r="V54" i="1" l="1"/>
  <c r="S54" i="1"/>
  <c r="J54" i="1"/>
  <c r="K54" i="1" s="1"/>
  <c r="L54" i="1" s="1"/>
  <c r="R54" i="1"/>
  <c r="X54" i="1" s="1"/>
  <c r="U54" i="1"/>
  <c r="AO44" i="9"/>
  <c r="Y52" i="1"/>
  <c r="P46" i="7"/>
  <c r="D11" i="14"/>
  <c r="X53" i="1"/>
  <c r="W53" i="1"/>
  <c r="AP44" i="12"/>
  <c r="Y45" i="7"/>
  <c r="AO44" i="12"/>
  <c r="G54" i="9"/>
  <c r="X54" i="9" s="1"/>
  <c r="AN44" i="9"/>
  <c r="AH43" i="10"/>
  <c r="Z45" i="9"/>
  <c r="B46" i="9"/>
  <c r="AU48" i="4"/>
  <c r="AN48" i="4"/>
  <c r="AR48" i="4"/>
  <c r="G49" i="4" s="1"/>
  <c r="AS48" i="4"/>
  <c r="H49" i="4" s="1"/>
  <c r="AM48" i="4"/>
  <c r="B49" i="4" s="1"/>
  <c r="AW51" i="12"/>
  <c r="E52" i="12" s="1"/>
  <c r="V52" i="12" s="1"/>
  <c r="D56" i="1"/>
  <c r="H56" i="1"/>
  <c r="E56" i="1"/>
  <c r="H55" i="9"/>
  <c r="Y55" i="9" s="1"/>
  <c r="AY49" i="12"/>
  <c r="G50" i="12" s="1"/>
  <c r="J46" i="7"/>
  <c r="K46" i="7" s="1"/>
  <c r="L46" i="7" s="1"/>
  <c r="Q46" i="7"/>
  <c r="V46" i="7"/>
  <c r="T46" i="7"/>
  <c r="AV51" i="12"/>
  <c r="D52" i="12" s="1"/>
  <c r="U52" i="12" s="1"/>
  <c r="J45" i="12"/>
  <c r="K45" i="12" s="1"/>
  <c r="L45" i="12" s="1"/>
  <c r="D55" i="9"/>
  <c r="U55" i="9" s="1"/>
  <c r="Z45" i="12"/>
  <c r="AH45" i="12" s="1"/>
  <c r="AT45" i="12"/>
  <c r="B46" i="12" s="1"/>
  <c r="I55" i="1"/>
  <c r="W48" i="4"/>
  <c r="Y48" i="4" s="1"/>
  <c r="G57" i="1"/>
  <c r="E55" i="9"/>
  <c r="V55" i="9" s="1"/>
  <c r="BA43" i="10"/>
  <c r="BL43" i="10"/>
  <c r="BK43" i="10"/>
  <c r="AA43" i="10"/>
  <c r="AB43" i="10" s="1"/>
  <c r="AC43" i="10" s="1"/>
  <c r="AD43" i="10"/>
  <c r="AZ43" i="10"/>
  <c r="AL43" i="10"/>
  <c r="AU43" i="10"/>
  <c r="AI43" i="10"/>
  <c r="AN43" i="10"/>
  <c r="AX43" i="10"/>
  <c r="B57" i="1"/>
  <c r="B47" i="7"/>
  <c r="AI46" i="7"/>
  <c r="AJ46" i="7" s="1"/>
  <c r="S44" i="10"/>
  <c r="I44" i="10"/>
  <c r="Y53" i="1" l="1"/>
  <c r="W54" i="1"/>
  <c r="Y54" i="1" s="1"/>
  <c r="AP44" i="9"/>
  <c r="I56" i="1"/>
  <c r="C21" i="14" s="1"/>
  <c r="R55" i="1"/>
  <c r="C20" i="14"/>
  <c r="AQ44" i="12"/>
  <c r="AP43" i="10"/>
  <c r="X46" i="7"/>
  <c r="AO43" i="10"/>
  <c r="W46" i="7"/>
  <c r="G55" i="9"/>
  <c r="X55" i="9" s="1"/>
  <c r="AA45" i="9"/>
  <c r="AB45" i="9" s="1"/>
  <c r="AC45" i="9" s="1"/>
  <c r="AH45" i="9"/>
  <c r="AD45" i="9"/>
  <c r="AM45" i="9"/>
  <c r="AK45" i="9"/>
  <c r="BO45" i="12"/>
  <c r="AG45" i="9"/>
  <c r="S46" i="9"/>
  <c r="I46" i="9"/>
  <c r="Z44" i="10"/>
  <c r="AH44" i="10" s="1"/>
  <c r="BD44" i="10"/>
  <c r="B45" i="10" s="1"/>
  <c r="B58" i="1"/>
  <c r="X50" i="12"/>
  <c r="E57" i="1"/>
  <c r="S56" i="1"/>
  <c r="AM49" i="4"/>
  <c r="B50" i="4" s="1"/>
  <c r="I47" i="7"/>
  <c r="D12" i="14" s="1"/>
  <c r="AB47" i="7"/>
  <c r="E56" i="9"/>
  <c r="V56" i="9" s="1"/>
  <c r="J55" i="1"/>
  <c r="K55" i="1" s="1"/>
  <c r="L55" i="1" s="1"/>
  <c r="U55" i="1"/>
  <c r="P55" i="1"/>
  <c r="D56" i="9"/>
  <c r="U56" i="9" s="1"/>
  <c r="V55" i="1"/>
  <c r="AS49" i="4"/>
  <c r="H50" i="4" s="1"/>
  <c r="J56" i="1"/>
  <c r="K56" i="1" s="1"/>
  <c r="L56" i="1" s="1"/>
  <c r="U56" i="1"/>
  <c r="S46" i="12"/>
  <c r="I46" i="12"/>
  <c r="H56" i="9"/>
  <c r="Y56" i="9" s="1"/>
  <c r="H57" i="1"/>
  <c r="V56" i="1"/>
  <c r="AR49" i="4"/>
  <c r="G50" i="4" s="1"/>
  <c r="J44" i="10"/>
  <c r="K44" i="10" s="1"/>
  <c r="L44" i="10" s="1"/>
  <c r="P56" i="1"/>
  <c r="G58" i="1"/>
  <c r="AA45" i="12"/>
  <c r="AB45" i="12" s="1"/>
  <c r="AC45" i="12" s="1"/>
  <c r="BA45" i="12"/>
  <c r="BB45" i="12"/>
  <c r="BV45" i="12"/>
  <c r="AD45" i="12"/>
  <c r="AL45" i="12"/>
  <c r="BU45" i="12"/>
  <c r="BS45" i="12"/>
  <c r="BP45" i="12"/>
  <c r="AI45" i="12"/>
  <c r="AN45" i="12"/>
  <c r="S55" i="1"/>
  <c r="D57" i="1"/>
  <c r="R56" i="1"/>
  <c r="E49" i="4"/>
  <c r="D49" i="4"/>
  <c r="AQ43" i="10" l="1"/>
  <c r="X56" i="1"/>
  <c r="W56" i="1"/>
  <c r="AO45" i="9"/>
  <c r="X55" i="1"/>
  <c r="W55" i="1"/>
  <c r="AP45" i="12"/>
  <c r="Y46" i="7"/>
  <c r="AO45" i="12"/>
  <c r="G56" i="9"/>
  <c r="X56" i="9" s="1"/>
  <c r="J46" i="9"/>
  <c r="K46" i="9" s="1"/>
  <c r="L46" i="9" s="1"/>
  <c r="AN45" i="9"/>
  <c r="AP45" i="9" s="1"/>
  <c r="Z46" i="9"/>
  <c r="B47" i="9"/>
  <c r="AO49" i="4"/>
  <c r="D50" i="4" s="1"/>
  <c r="AR50" i="4"/>
  <c r="G51" i="4" s="1"/>
  <c r="H58" i="1"/>
  <c r="AS50" i="4"/>
  <c r="H51" i="4" s="1"/>
  <c r="J47" i="7"/>
  <c r="K47" i="7" s="1"/>
  <c r="L47" i="7" s="1"/>
  <c r="Q47" i="7"/>
  <c r="U47" i="7"/>
  <c r="V47" i="7"/>
  <c r="AY50" i="12"/>
  <c r="G51" i="12" s="1"/>
  <c r="AT44" i="10"/>
  <c r="D58" i="1"/>
  <c r="J46" i="12"/>
  <c r="K46" i="12" s="1"/>
  <c r="L46" i="12" s="1"/>
  <c r="E57" i="9"/>
  <c r="V57" i="9" s="1"/>
  <c r="I49" i="4"/>
  <c r="H57" i="9"/>
  <c r="Y57" i="9" s="1"/>
  <c r="AT46" i="12"/>
  <c r="B47" i="12" s="1"/>
  <c r="Z46" i="12"/>
  <c r="AH46" i="12" s="1"/>
  <c r="P47" i="7"/>
  <c r="E58" i="1"/>
  <c r="I57" i="1"/>
  <c r="C22" i="14" s="1"/>
  <c r="S45" i="10"/>
  <c r="I45" i="10"/>
  <c r="AP49" i="4"/>
  <c r="E50" i="4" s="1"/>
  <c r="G59" i="1"/>
  <c r="D57" i="9"/>
  <c r="U57" i="9" s="1"/>
  <c r="AI47" i="7"/>
  <c r="AJ47" i="7" s="1"/>
  <c r="B48" i="7"/>
  <c r="AM50" i="4"/>
  <c r="B51" i="4" s="1"/>
  <c r="B59" i="1"/>
  <c r="BA44" i="10"/>
  <c r="AA44" i="10"/>
  <c r="AB44" i="10" s="1"/>
  <c r="AC44" i="10" s="1"/>
  <c r="AD44" i="10"/>
  <c r="BL44" i="10"/>
  <c r="BK44" i="10"/>
  <c r="AL44" i="10"/>
  <c r="AN44" i="10"/>
  <c r="AZ44" i="10"/>
  <c r="AX44" i="10"/>
  <c r="AU44" i="10"/>
  <c r="AI44" i="10"/>
  <c r="I58" i="1" l="1"/>
  <c r="Y55" i="1"/>
  <c r="AF49" i="4"/>
  <c r="B14" i="14"/>
  <c r="AP44" i="10"/>
  <c r="P58" i="1"/>
  <c r="C23" i="14"/>
  <c r="Y56" i="1"/>
  <c r="AQ45" i="12"/>
  <c r="AO44" i="10"/>
  <c r="X47" i="7"/>
  <c r="G57" i="9"/>
  <c r="X57" i="9" s="1"/>
  <c r="S47" i="9"/>
  <c r="I47" i="9"/>
  <c r="BO46" i="12"/>
  <c r="AA46" i="9"/>
  <c r="AB46" i="9" s="1"/>
  <c r="AC46" i="9" s="1"/>
  <c r="AD46" i="9"/>
  <c r="AH46" i="9"/>
  <c r="AK46" i="9"/>
  <c r="AM46" i="9"/>
  <c r="AG46" i="9"/>
  <c r="AP50" i="4"/>
  <c r="E51" i="4" s="1"/>
  <c r="J57" i="1"/>
  <c r="K57" i="1" s="1"/>
  <c r="L57" i="1" s="1"/>
  <c r="U57" i="1"/>
  <c r="P57" i="1"/>
  <c r="AM51" i="4"/>
  <c r="B52" i="4" s="1"/>
  <c r="G60" i="1"/>
  <c r="S57" i="1"/>
  <c r="H58" i="9"/>
  <c r="Y58" i="9" s="1"/>
  <c r="J58" i="1"/>
  <c r="I50" i="4"/>
  <c r="B15" i="14" s="1"/>
  <c r="U58" i="1"/>
  <c r="S58" i="1"/>
  <c r="E59" i="1"/>
  <c r="AA46" i="12"/>
  <c r="AB46" i="12" s="1"/>
  <c r="AC46" i="12" s="1"/>
  <c r="BA46" i="12"/>
  <c r="BV46" i="12"/>
  <c r="AD46" i="12"/>
  <c r="BB46" i="12"/>
  <c r="AN46" i="12"/>
  <c r="AI46" i="12"/>
  <c r="BP46" i="12"/>
  <c r="AL46" i="12"/>
  <c r="BS46" i="12"/>
  <c r="BU46" i="12"/>
  <c r="AJ49" i="4"/>
  <c r="AT49" i="4"/>
  <c r="AU49" i="4" s="1"/>
  <c r="J49" i="4"/>
  <c r="K49" i="4" s="1"/>
  <c r="L49" i="4" s="1"/>
  <c r="V49" i="4"/>
  <c r="P49" i="4"/>
  <c r="AI49" i="4"/>
  <c r="U49" i="4"/>
  <c r="AH49" i="4"/>
  <c r="AC49" i="4"/>
  <c r="R57" i="1"/>
  <c r="X51" i="12"/>
  <c r="H59" i="1"/>
  <c r="V58" i="1"/>
  <c r="AR51" i="4"/>
  <c r="G52" i="4" s="1"/>
  <c r="R49" i="4"/>
  <c r="D58" i="9"/>
  <c r="U58" i="9" s="1"/>
  <c r="J45" i="10"/>
  <c r="K45" i="10" s="1"/>
  <c r="L45" i="10" s="1"/>
  <c r="AB48" i="7"/>
  <c r="I48" i="7"/>
  <c r="S49" i="4"/>
  <c r="BD45" i="10"/>
  <c r="B46" i="10" s="1"/>
  <c r="Z45" i="10"/>
  <c r="W47" i="7"/>
  <c r="Y47" i="7" s="1"/>
  <c r="S47" i="12"/>
  <c r="I47" i="12"/>
  <c r="D59" i="1"/>
  <c r="R58" i="1"/>
  <c r="V57" i="1"/>
  <c r="AE49" i="4"/>
  <c r="B60" i="1"/>
  <c r="E58" i="9"/>
  <c r="V58" i="9" s="1"/>
  <c r="AS51" i="4"/>
  <c r="H52" i="4" s="1"/>
  <c r="AO50" i="4"/>
  <c r="D51" i="4" s="1"/>
  <c r="AE50" i="4" l="1"/>
  <c r="R50" i="4"/>
  <c r="I59" i="1"/>
  <c r="C24" i="14" s="1"/>
  <c r="AQ44" i="10"/>
  <c r="P59" i="1"/>
  <c r="AP46" i="12"/>
  <c r="X57" i="1"/>
  <c r="W57" i="1"/>
  <c r="AO46" i="9"/>
  <c r="X58" i="1"/>
  <c r="W58" i="1"/>
  <c r="P48" i="7"/>
  <c r="D13" i="14"/>
  <c r="X49" i="4"/>
  <c r="AO46" i="12"/>
  <c r="AQ46" i="12" s="1"/>
  <c r="G58" i="9"/>
  <c r="X58" i="9" s="1"/>
  <c r="Z47" i="9"/>
  <c r="AL47" i="9" s="1"/>
  <c r="B48" i="9"/>
  <c r="AN46" i="9"/>
  <c r="J47" i="9"/>
  <c r="K47" i="9" s="1"/>
  <c r="L47" i="9" s="1"/>
  <c r="AO51" i="4"/>
  <c r="D52" i="4" s="1"/>
  <c r="E59" i="9"/>
  <c r="V59" i="9" s="1"/>
  <c r="AD45" i="10"/>
  <c r="AA45" i="10"/>
  <c r="AB45" i="10" s="1"/>
  <c r="AC45" i="10" s="1"/>
  <c r="BA45" i="10"/>
  <c r="BK45" i="10"/>
  <c r="BL45" i="10"/>
  <c r="AL45" i="10"/>
  <c r="AZ45" i="10"/>
  <c r="AX45" i="10"/>
  <c r="AU45" i="10"/>
  <c r="AN45" i="10"/>
  <c r="AI45" i="10"/>
  <c r="D60" i="1"/>
  <c r="R59" i="1"/>
  <c r="S46" i="10"/>
  <c r="I46" i="10"/>
  <c r="AI48" i="7"/>
  <c r="AJ48" i="7" s="1"/>
  <c r="B49" i="7"/>
  <c r="D59" i="9"/>
  <c r="U59" i="9" s="1"/>
  <c r="AY51" i="12"/>
  <c r="G52" i="12" s="1"/>
  <c r="G61" i="1"/>
  <c r="AT45" i="10"/>
  <c r="AT50" i="4"/>
  <c r="AU50" i="4" s="1"/>
  <c r="AJ50" i="4"/>
  <c r="J50" i="4"/>
  <c r="K50" i="4" s="1"/>
  <c r="L50" i="4" s="1"/>
  <c r="U50" i="4"/>
  <c r="V50" i="4"/>
  <c r="AC50" i="4"/>
  <c r="AH50" i="4"/>
  <c r="AI50" i="4"/>
  <c r="P50" i="4"/>
  <c r="H59" i="9"/>
  <c r="Y59" i="9" s="1"/>
  <c r="AF50" i="4"/>
  <c r="J47" i="12"/>
  <c r="K47" i="12" s="1"/>
  <c r="L47" i="12" s="1"/>
  <c r="AH45" i="10"/>
  <c r="J48" i="7"/>
  <c r="K48" i="7" s="1"/>
  <c r="L48" i="7" s="1"/>
  <c r="Q48" i="7"/>
  <c r="V48" i="7"/>
  <c r="U48" i="7"/>
  <c r="H60" i="1"/>
  <c r="V59" i="1"/>
  <c r="W49" i="4"/>
  <c r="E60" i="1"/>
  <c r="I60" i="1" s="1"/>
  <c r="S59" i="1"/>
  <c r="I51" i="4"/>
  <c r="AF51" i="4" s="1"/>
  <c r="S50" i="4"/>
  <c r="B61" i="1"/>
  <c r="Z47" i="12"/>
  <c r="AT47" i="12"/>
  <c r="B48" i="12" s="1"/>
  <c r="K58" i="1"/>
  <c r="I70" i="1"/>
  <c r="C10" i="8" s="1"/>
  <c r="U59" i="1"/>
  <c r="AP51" i="4"/>
  <c r="E52" i="4" s="1"/>
  <c r="J59" i="1" l="1"/>
  <c r="K59" i="1" s="1"/>
  <c r="L59" i="1" s="1"/>
  <c r="Y57" i="1"/>
  <c r="AE51" i="4"/>
  <c r="B16" i="14"/>
  <c r="P60" i="1"/>
  <c r="C25" i="14"/>
  <c r="Y58" i="1"/>
  <c r="X50" i="4"/>
  <c r="Y49" i="4"/>
  <c r="AP46" i="9"/>
  <c r="X59" i="1"/>
  <c r="W59" i="1"/>
  <c r="AP45" i="10"/>
  <c r="X48" i="7"/>
  <c r="AO45" i="10"/>
  <c r="BO47" i="12"/>
  <c r="AM47" i="12"/>
  <c r="W48" i="7"/>
  <c r="S51" i="4"/>
  <c r="G59" i="9"/>
  <c r="X59" i="9" s="1"/>
  <c r="AH47" i="12"/>
  <c r="AH47" i="9"/>
  <c r="AM47" i="9"/>
  <c r="AA47" i="9"/>
  <c r="AB47" i="9" s="1"/>
  <c r="AC47" i="9" s="1"/>
  <c r="AG47" i="9"/>
  <c r="AD47" i="9"/>
  <c r="S48" i="9"/>
  <c r="I48" i="9"/>
  <c r="S60" i="1"/>
  <c r="E61" i="1"/>
  <c r="W50" i="4"/>
  <c r="G62" i="1"/>
  <c r="G63" i="1" s="1"/>
  <c r="D60" i="9"/>
  <c r="U60" i="9" s="1"/>
  <c r="Z46" i="10"/>
  <c r="AT46" i="10" s="1"/>
  <c r="E60" i="9"/>
  <c r="V60" i="9" s="1"/>
  <c r="AB49" i="7"/>
  <c r="I49" i="7"/>
  <c r="J60" i="1"/>
  <c r="K60" i="1" s="1"/>
  <c r="L60" i="1" s="1"/>
  <c r="I71" i="1"/>
  <c r="C11" i="8" s="1"/>
  <c r="L58" i="1"/>
  <c r="S48" i="12"/>
  <c r="I48" i="12"/>
  <c r="B62" i="1"/>
  <c r="B63" i="1" s="1"/>
  <c r="AJ51" i="4"/>
  <c r="J51" i="4"/>
  <c r="K51" i="4" s="1"/>
  <c r="L51" i="4" s="1"/>
  <c r="AT51" i="4"/>
  <c r="AU51" i="4" s="1"/>
  <c r="P51" i="4"/>
  <c r="AH51" i="4"/>
  <c r="V51" i="4"/>
  <c r="AC51" i="4"/>
  <c r="AI51" i="4"/>
  <c r="U51" i="4"/>
  <c r="I52" i="4"/>
  <c r="X52" i="12"/>
  <c r="D61" i="1"/>
  <c r="R60" i="1"/>
  <c r="R51" i="4"/>
  <c r="AA47" i="12"/>
  <c r="AB47" i="12" s="1"/>
  <c r="AC47" i="12" s="1"/>
  <c r="BV47" i="12"/>
  <c r="AD47" i="12"/>
  <c r="BA47" i="12"/>
  <c r="BB47" i="12"/>
  <c r="BP47" i="12"/>
  <c r="BU47" i="12"/>
  <c r="AI47" i="12"/>
  <c r="AN47" i="12"/>
  <c r="BT47" i="12"/>
  <c r="H61" i="1"/>
  <c r="V60" i="1"/>
  <c r="H60" i="9"/>
  <c r="Y60" i="9" s="1"/>
  <c r="U60" i="1"/>
  <c r="J46" i="10"/>
  <c r="K46" i="10" s="1"/>
  <c r="L46" i="10" s="1"/>
  <c r="G64" i="1" l="1"/>
  <c r="B64" i="1"/>
  <c r="Y48" i="7"/>
  <c r="Y59" i="1"/>
  <c r="S52" i="4"/>
  <c r="B17" i="14"/>
  <c r="P49" i="7"/>
  <c r="D14" i="14"/>
  <c r="AO47" i="9"/>
  <c r="AQ45" i="10"/>
  <c r="X60" i="1"/>
  <c r="W60" i="1"/>
  <c r="X51" i="4"/>
  <c r="Y50" i="4"/>
  <c r="AF52" i="4"/>
  <c r="AP47" i="12"/>
  <c r="AO47" i="12"/>
  <c r="AE52" i="4"/>
  <c r="R52" i="4"/>
  <c r="G60" i="9"/>
  <c r="X60" i="9" s="1"/>
  <c r="AH46" i="10"/>
  <c r="Z48" i="9"/>
  <c r="AL48" i="9" s="1"/>
  <c r="B49" i="9"/>
  <c r="AN47" i="9"/>
  <c r="J48" i="9"/>
  <c r="K48" i="9" s="1"/>
  <c r="L48" i="9" s="1"/>
  <c r="D62" i="1"/>
  <c r="D63" i="1" s="1"/>
  <c r="H61" i="9"/>
  <c r="Y61" i="9" s="1"/>
  <c r="W51" i="4"/>
  <c r="Z48" i="12"/>
  <c r="AM48" i="12" s="1"/>
  <c r="AT48" i="12"/>
  <c r="B49" i="12" s="1"/>
  <c r="B50" i="7"/>
  <c r="AI49" i="7"/>
  <c r="AJ49" i="7" s="1"/>
  <c r="D61" i="9"/>
  <c r="U61" i="9" s="1"/>
  <c r="I61" i="1"/>
  <c r="V61" i="1" s="1"/>
  <c r="H62" i="1"/>
  <c r="H63" i="1" s="1"/>
  <c r="AT52" i="4"/>
  <c r="AJ52" i="4"/>
  <c r="J52" i="4"/>
  <c r="K52" i="4" s="1"/>
  <c r="L52" i="4" s="1"/>
  <c r="V52" i="4"/>
  <c r="AC52" i="4"/>
  <c r="AH52" i="4"/>
  <c r="P52" i="4"/>
  <c r="U52" i="4"/>
  <c r="AI52" i="4"/>
  <c r="AA46" i="10"/>
  <c r="AB46" i="10" s="1"/>
  <c r="AC46" i="10" s="1"/>
  <c r="BK46" i="10"/>
  <c r="BA46" i="10"/>
  <c r="AD46" i="10"/>
  <c r="AU46" i="10"/>
  <c r="AX46" i="10"/>
  <c r="AZ46" i="10"/>
  <c r="AI46" i="10"/>
  <c r="AN46" i="10"/>
  <c r="AL46" i="10"/>
  <c r="E62" i="1"/>
  <c r="E63" i="1" s="1"/>
  <c r="J48" i="12"/>
  <c r="K48" i="12" s="1"/>
  <c r="L48" i="12" s="1"/>
  <c r="J49" i="7"/>
  <c r="K49" i="7" s="1"/>
  <c r="L49" i="7" s="1"/>
  <c r="S49" i="7"/>
  <c r="R49" i="7"/>
  <c r="U49" i="7"/>
  <c r="V49" i="7"/>
  <c r="E61" i="9"/>
  <c r="V61" i="9" s="1"/>
  <c r="H64" i="1" l="1"/>
  <c r="D64" i="1"/>
  <c r="I63" i="1"/>
  <c r="E64" i="1"/>
  <c r="S63" i="1"/>
  <c r="Y60" i="1"/>
  <c r="X52" i="4"/>
  <c r="S61" i="1"/>
  <c r="R61" i="1"/>
  <c r="C26" i="14"/>
  <c r="Y51" i="4"/>
  <c r="AP47" i="9"/>
  <c r="AP46" i="10"/>
  <c r="AQ47" i="12"/>
  <c r="X49" i="7"/>
  <c r="AO46" i="10"/>
  <c r="W49" i="7"/>
  <c r="W52" i="4"/>
  <c r="G61" i="9"/>
  <c r="X61" i="9" s="1"/>
  <c r="I49" i="9"/>
  <c r="S49" i="9"/>
  <c r="AG48" i="9"/>
  <c r="AA48" i="9"/>
  <c r="AB48" i="9" s="1"/>
  <c r="AC48" i="9" s="1"/>
  <c r="AD48" i="9"/>
  <c r="AH48" i="9"/>
  <c r="AM48" i="9"/>
  <c r="BD46" i="10"/>
  <c r="BE46" i="10"/>
  <c r="C47" i="10" s="1"/>
  <c r="T47" i="10" s="1"/>
  <c r="BH46" i="10"/>
  <c r="G47" i="10" s="1"/>
  <c r="BJ46" i="10"/>
  <c r="H47" i="10" s="1"/>
  <c r="Y47" i="10" s="1"/>
  <c r="S49" i="12"/>
  <c r="I49" i="12"/>
  <c r="H62" i="9"/>
  <c r="Y62" i="9" s="1"/>
  <c r="H63" i="9" s="1"/>
  <c r="Y63" i="9" s="1"/>
  <c r="AU52" i="4"/>
  <c r="AR52" i="4"/>
  <c r="G53" i="4" s="1"/>
  <c r="AO52" i="4"/>
  <c r="D53" i="4" s="1"/>
  <c r="AP52" i="4"/>
  <c r="E53" i="4" s="1"/>
  <c r="AS52" i="4"/>
  <c r="H53" i="4" s="1"/>
  <c r="AM52" i="4"/>
  <c r="B53" i="4" s="1"/>
  <c r="I50" i="7"/>
  <c r="AB50" i="7"/>
  <c r="AA48" i="12"/>
  <c r="AB48" i="12" s="1"/>
  <c r="AC48" i="12" s="1"/>
  <c r="BA48" i="12"/>
  <c r="BV48" i="12"/>
  <c r="BB48" i="12"/>
  <c r="AD48" i="12"/>
  <c r="AN48" i="12"/>
  <c r="BU48" i="12"/>
  <c r="AI48" i="12"/>
  <c r="BP48" i="12"/>
  <c r="BT48" i="12"/>
  <c r="E62" i="9"/>
  <c r="V62" i="9" s="1"/>
  <c r="E63" i="9" s="1"/>
  <c r="V63" i="9" s="1"/>
  <c r="J61" i="1"/>
  <c r="K61" i="1" s="1"/>
  <c r="L61" i="1" s="1"/>
  <c r="U61" i="1"/>
  <c r="P61" i="1"/>
  <c r="BO48" i="12"/>
  <c r="I62" i="1"/>
  <c r="C27" i="14" s="1"/>
  <c r="D62" i="9"/>
  <c r="U62" i="9" s="1"/>
  <c r="D63" i="9" s="1"/>
  <c r="U63" i="9" s="1"/>
  <c r="AH48" i="12"/>
  <c r="E64" i="9" l="1"/>
  <c r="V64" i="9" s="1"/>
  <c r="E65" i="9" s="1"/>
  <c r="D64" i="9"/>
  <c r="U64" i="9" s="1"/>
  <c r="K63" i="1"/>
  <c r="L63" i="1" s="1"/>
  <c r="C28" i="14"/>
  <c r="U63" i="1"/>
  <c r="P63" i="1"/>
  <c r="H64" i="9"/>
  <c r="Y64" i="9" s="1"/>
  <c r="H65" i="9" s="1"/>
  <c r="R63" i="1"/>
  <c r="V63" i="1"/>
  <c r="Y52" i="4"/>
  <c r="V62" i="1"/>
  <c r="S62" i="1"/>
  <c r="AO48" i="9"/>
  <c r="P50" i="7"/>
  <c r="D15" i="14"/>
  <c r="X61" i="1"/>
  <c r="W61" i="1"/>
  <c r="R62" i="1"/>
  <c r="AQ46" i="10"/>
  <c r="AO48" i="12"/>
  <c r="AP48" i="12"/>
  <c r="Y49" i="7"/>
  <c r="G62" i="9"/>
  <c r="X62" i="9" s="1"/>
  <c r="G63" i="9" s="1"/>
  <c r="X63" i="9" s="1"/>
  <c r="AN48" i="9"/>
  <c r="B50" i="9"/>
  <c r="Z49" i="9"/>
  <c r="AL49" i="9" s="1"/>
  <c r="J49" i="9"/>
  <c r="K49" i="9" s="1"/>
  <c r="L49" i="9" s="1"/>
  <c r="BJ47" i="10"/>
  <c r="H48" i="10" s="1"/>
  <c r="Y48" i="10" s="1"/>
  <c r="J50" i="7"/>
  <c r="K50" i="7" s="1"/>
  <c r="L50" i="7" s="1"/>
  <c r="R50" i="7"/>
  <c r="S50" i="7"/>
  <c r="V50" i="7"/>
  <c r="U50" i="7"/>
  <c r="X47" i="10"/>
  <c r="I53" i="4"/>
  <c r="AF53" i="4" s="1"/>
  <c r="J49" i="12"/>
  <c r="K49" i="12" s="1"/>
  <c r="L49" i="12" s="1"/>
  <c r="BE47" i="10"/>
  <c r="C48" i="10" s="1"/>
  <c r="T48" i="10" s="1"/>
  <c r="K62" i="1"/>
  <c r="L62" i="1" s="1"/>
  <c r="P62" i="1"/>
  <c r="U62" i="1"/>
  <c r="B51" i="7"/>
  <c r="AI50" i="7"/>
  <c r="AJ50" i="7" s="1"/>
  <c r="Z49" i="12"/>
  <c r="AT49" i="12"/>
  <c r="B50" i="12" s="1"/>
  <c r="I64" i="1"/>
  <c r="B47" i="10"/>
  <c r="BL46" i="10"/>
  <c r="Y65" i="9" l="1"/>
  <c r="Y66" i="9" s="1"/>
  <c r="H66" i="9" s="1"/>
  <c r="D65" i="9"/>
  <c r="V65" i="9"/>
  <c r="V66" i="9" s="1"/>
  <c r="E66" i="9" s="1"/>
  <c r="I66" i="1"/>
  <c r="I72" i="1" s="1"/>
  <c r="Y61" i="1"/>
  <c r="G64" i="9"/>
  <c r="X64" i="9" s="1"/>
  <c r="G65" i="9" s="1"/>
  <c r="X63" i="1"/>
  <c r="W63" i="1"/>
  <c r="AI53" i="4"/>
  <c r="R64" i="1"/>
  <c r="AH53" i="4"/>
  <c r="U53" i="4"/>
  <c r="X62" i="1"/>
  <c r="W62" i="1"/>
  <c r="P53" i="4"/>
  <c r="R53" i="4"/>
  <c r="AP48" i="9"/>
  <c r="V53" i="4"/>
  <c r="B18" i="14"/>
  <c r="AQ48" i="12"/>
  <c r="X50" i="7"/>
  <c r="BO49" i="12"/>
  <c r="AM49" i="12"/>
  <c r="W50" i="7"/>
  <c r="I50" i="9"/>
  <c r="S50" i="9"/>
  <c r="AA49" i="9"/>
  <c r="AB49" i="9" s="1"/>
  <c r="AC49" i="9" s="1"/>
  <c r="AM49" i="9"/>
  <c r="AD49" i="9"/>
  <c r="AI49" i="9"/>
  <c r="AJ49" i="9"/>
  <c r="AG49" i="9"/>
  <c r="AB51" i="7"/>
  <c r="I51" i="7"/>
  <c r="K64" i="1"/>
  <c r="L64" i="1" s="1"/>
  <c r="P64" i="1"/>
  <c r="U64" i="1"/>
  <c r="AA49" i="12"/>
  <c r="AB49" i="12" s="1"/>
  <c r="AC49" i="12" s="1"/>
  <c r="BA49" i="12"/>
  <c r="AD49" i="12"/>
  <c r="BB49" i="12"/>
  <c r="BV49" i="12"/>
  <c r="BU49" i="12"/>
  <c r="AN49" i="12"/>
  <c r="BR49" i="12"/>
  <c r="AJ49" i="12"/>
  <c r="AK49" i="12"/>
  <c r="BQ49" i="12"/>
  <c r="BT49" i="12"/>
  <c r="V64" i="1"/>
  <c r="AT53" i="4"/>
  <c r="AJ53" i="4"/>
  <c r="J53" i="4"/>
  <c r="K53" i="4" s="1"/>
  <c r="L53" i="4" s="1"/>
  <c r="S53" i="4"/>
  <c r="S50" i="12"/>
  <c r="I50" i="12"/>
  <c r="BI47" i="10"/>
  <c r="G48" i="10" s="1"/>
  <c r="AH49" i="12"/>
  <c r="AC53" i="4"/>
  <c r="AE53" i="4"/>
  <c r="S47" i="10"/>
  <c r="I47" i="10"/>
  <c r="S64" i="1"/>
  <c r="I68" i="1" l="1"/>
  <c r="C8" i="8" s="1"/>
  <c r="U65" i="9"/>
  <c r="U66" i="9" s="1"/>
  <c r="D66" i="9" s="1"/>
  <c r="X65" i="9"/>
  <c r="X66" i="9" s="1"/>
  <c r="G66" i="9" s="1"/>
  <c r="I67" i="1"/>
  <c r="C6" i="8"/>
  <c r="Y50" i="7"/>
  <c r="Y63" i="1"/>
  <c r="W53" i="4"/>
  <c r="X64" i="1"/>
  <c r="W64" i="1"/>
  <c r="C14" i="8"/>
  <c r="P51" i="7"/>
  <c r="D16" i="14"/>
  <c r="AO49" i="9"/>
  <c r="X53" i="4"/>
  <c r="Y62" i="1"/>
  <c r="AP49" i="12"/>
  <c r="AO49" i="12"/>
  <c r="B51" i="9"/>
  <c r="Z50" i="9"/>
  <c r="AL50" i="9" s="1"/>
  <c r="J50" i="9"/>
  <c r="K50" i="9" s="1"/>
  <c r="L50" i="9" s="1"/>
  <c r="AN49" i="9"/>
  <c r="AU53" i="4"/>
  <c r="AO53" i="4"/>
  <c r="D54" i="4" s="1"/>
  <c r="AS53" i="4"/>
  <c r="H54" i="4" s="1"/>
  <c r="AP53" i="4"/>
  <c r="E54" i="4" s="1"/>
  <c r="AR53" i="4"/>
  <c r="G54" i="4" s="1"/>
  <c r="AM53" i="4"/>
  <c r="B54" i="4" s="1"/>
  <c r="J47" i="10"/>
  <c r="K47" i="10" s="1"/>
  <c r="L47" i="10" s="1"/>
  <c r="AT50" i="12"/>
  <c r="B51" i="12" s="1"/>
  <c r="Z50" i="12"/>
  <c r="J51" i="7"/>
  <c r="K51" i="7" s="1"/>
  <c r="L51" i="7" s="1"/>
  <c r="S51" i="7"/>
  <c r="R51" i="7"/>
  <c r="U51" i="7"/>
  <c r="V51" i="7"/>
  <c r="J50" i="12"/>
  <c r="K50" i="12" s="1"/>
  <c r="L50" i="12" s="1"/>
  <c r="BD47" i="10"/>
  <c r="B48" i="10" s="1"/>
  <c r="Z47" i="10"/>
  <c r="AI51" i="7"/>
  <c r="AJ51" i="7" s="1"/>
  <c r="B52" i="7"/>
  <c r="X48" i="10"/>
  <c r="I69" i="1" l="1"/>
  <c r="C9" i="8" s="1"/>
  <c r="C7" i="8"/>
  <c r="Y53" i="4"/>
  <c r="AP49" i="9"/>
  <c r="Y64" i="1"/>
  <c r="AQ49" i="12"/>
  <c r="X51" i="7"/>
  <c r="AT47" i="10"/>
  <c r="AM47" i="10"/>
  <c r="AH50" i="12"/>
  <c r="AM50" i="12"/>
  <c r="W51" i="7"/>
  <c r="AI50" i="9"/>
  <c r="AA50" i="9"/>
  <c r="AB50" i="9" s="1"/>
  <c r="AC50" i="9" s="1"/>
  <c r="AM50" i="9"/>
  <c r="AD50" i="9"/>
  <c r="AJ50" i="9"/>
  <c r="S51" i="9"/>
  <c r="I51" i="9"/>
  <c r="AG50" i="9"/>
  <c r="I52" i="7"/>
  <c r="D17" i="14" s="1"/>
  <c r="S48" i="10"/>
  <c r="I48" i="10"/>
  <c r="AP54" i="4"/>
  <c r="E55" i="4" s="1"/>
  <c r="AA50" i="12"/>
  <c r="AB50" i="12" s="1"/>
  <c r="AC50" i="12" s="1"/>
  <c r="BV50" i="12"/>
  <c r="AD50" i="12"/>
  <c r="BB50" i="12"/>
  <c r="BA50" i="12"/>
  <c r="BU50" i="12"/>
  <c r="AN50" i="12"/>
  <c r="AJ50" i="12"/>
  <c r="AK50" i="12"/>
  <c r="BQ50" i="12"/>
  <c r="BR50" i="12"/>
  <c r="BT50" i="12"/>
  <c r="AS54" i="4"/>
  <c r="H55" i="4" s="1"/>
  <c r="S51" i="12"/>
  <c r="I51" i="12"/>
  <c r="AM54" i="4"/>
  <c r="B55" i="4" s="1"/>
  <c r="I54" i="4"/>
  <c r="AI54" i="4" s="1"/>
  <c r="AO54" i="4"/>
  <c r="D55" i="4" s="1"/>
  <c r="AA47" i="10"/>
  <c r="AB47" i="10" s="1"/>
  <c r="AC47" i="10" s="1"/>
  <c r="BK47" i="10"/>
  <c r="AD47" i="10"/>
  <c r="BL47" i="10"/>
  <c r="BA47" i="10"/>
  <c r="AI47" i="10"/>
  <c r="AU47" i="10"/>
  <c r="AN47" i="10"/>
  <c r="AZ47" i="10"/>
  <c r="AY47" i="10"/>
  <c r="AH47" i="10"/>
  <c r="BO50" i="12"/>
  <c r="AR54" i="4"/>
  <c r="G55" i="4" s="1"/>
  <c r="U54" i="4" l="1"/>
  <c r="Y51" i="7"/>
  <c r="AH54" i="4"/>
  <c r="AO50" i="9"/>
  <c r="AE54" i="4"/>
  <c r="AC54" i="4"/>
  <c r="V54" i="4"/>
  <c r="R54" i="4"/>
  <c r="AF54" i="4"/>
  <c r="B19" i="14"/>
  <c r="P54" i="4"/>
  <c r="P52" i="7"/>
  <c r="AP47" i="10"/>
  <c r="AP50" i="12"/>
  <c r="AO47" i="10"/>
  <c r="AO50" i="12"/>
  <c r="Z51" i="9"/>
  <c r="AL51" i="9" s="1"/>
  <c r="B52" i="9"/>
  <c r="AN50" i="9"/>
  <c r="J51" i="9"/>
  <c r="K51" i="9" s="1"/>
  <c r="L51" i="9" s="1"/>
  <c r="AO55" i="4"/>
  <c r="D56" i="4" s="1"/>
  <c r="I55" i="4"/>
  <c r="AC55" i="4" s="1"/>
  <c r="AM55" i="4"/>
  <c r="B56" i="4" s="1"/>
  <c r="AP55" i="4"/>
  <c r="E56" i="4" s="1"/>
  <c r="Z48" i="10"/>
  <c r="J51" i="12"/>
  <c r="K51" i="12" s="1"/>
  <c r="L51" i="12" s="1"/>
  <c r="AS55" i="4"/>
  <c r="H56" i="4" s="1"/>
  <c r="AR55" i="4"/>
  <c r="G56" i="4" s="1"/>
  <c r="AJ54" i="4"/>
  <c r="J54" i="4"/>
  <c r="K54" i="4" s="1"/>
  <c r="L54" i="4" s="1"/>
  <c r="AT54" i="4"/>
  <c r="AU54" i="4" s="1"/>
  <c r="Z51" i="12"/>
  <c r="AT51" i="12"/>
  <c r="B52" i="12" s="1"/>
  <c r="S54" i="4"/>
  <c r="J52" i="7"/>
  <c r="K52" i="7" s="1"/>
  <c r="L52" i="7" s="1"/>
  <c r="AH52" i="7"/>
  <c r="R52" i="7"/>
  <c r="S52" i="7"/>
  <c r="V52" i="7"/>
  <c r="U52" i="7"/>
  <c r="J48" i="10"/>
  <c r="K48" i="10" s="1"/>
  <c r="L48" i="10" s="1"/>
  <c r="AP50" i="9" l="1"/>
  <c r="AI55" i="4"/>
  <c r="AQ47" i="10"/>
  <c r="W54" i="4"/>
  <c r="X54" i="4"/>
  <c r="AF55" i="4"/>
  <c r="B20" i="14"/>
  <c r="AQ50" i="12"/>
  <c r="W52" i="7"/>
  <c r="AH48" i="10"/>
  <c r="AM48" i="10"/>
  <c r="AH51" i="12"/>
  <c r="AM51" i="12"/>
  <c r="X52" i="7"/>
  <c r="V55" i="4"/>
  <c r="AH55" i="4"/>
  <c r="U55" i="4"/>
  <c r="AM51" i="9"/>
  <c r="AI51" i="9"/>
  <c r="AA51" i="9"/>
  <c r="AB51" i="9" s="1"/>
  <c r="AC51" i="9" s="1"/>
  <c r="AJ51" i="9"/>
  <c r="AD51" i="9"/>
  <c r="AG51" i="9"/>
  <c r="S52" i="9"/>
  <c r="I52" i="9"/>
  <c r="AA51" i="12"/>
  <c r="AB51" i="12" s="1"/>
  <c r="AC51" i="12" s="1"/>
  <c r="BB51" i="12"/>
  <c r="BA51" i="12"/>
  <c r="BV51" i="12"/>
  <c r="AD51" i="12"/>
  <c r="AN51" i="12"/>
  <c r="BU51" i="12"/>
  <c r="AK51" i="12"/>
  <c r="BR51" i="12"/>
  <c r="AJ51" i="12"/>
  <c r="BQ51" i="12"/>
  <c r="BT51" i="12"/>
  <c r="AT55" i="4"/>
  <c r="AU55" i="4" s="1"/>
  <c r="AJ55" i="4"/>
  <c r="J55" i="4"/>
  <c r="K55" i="4" s="1"/>
  <c r="L55" i="4" s="1"/>
  <c r="BK48" i="10"/>
  <c r="AA48" i="10"/>
  <c r="AB48" i="10" s="1"/>
  <c r="AC48" i="10" s="1"/>
  <c r="BA48" i="10"/>
  <c r="AD48" i="10"/>
  <c r="AZ48" i="10"/>
  <c r="AI48" i="10"/>
  <c r="AU48" i="10"/>
  <c r="AN48" i="10"/>
  <c r="AY48" i="10"/>
  <c r="R55" i="4"/>
  <c r="BO51" i="12"/>
  <c r="S55" i="4"/>
  <c r="I56" i="4"/>
  <c r="AI52" i="7"/>
  <c r="AJ52" i="7" s="1"/>
  <c r="H53" i="7"/>
  <c r="S52" i="12"/>
  <c r="I52" i="12"/>
  <c r="AT48" i="10"/>
  <c r="P55" i="4"/>
  <c r="AE55" i="4"/>
  <c r="Y52" i="7" l="1"/>
  <c r="Y54" i="4"/>
  <c r="W55" i="4"/>
  <c r="X55" i="4"/>
  <c r="AO51" i="9"/>
  <c r="V56" i="4"/>
  <c r="B21" i="14"/>
  <c r="AP48" i="10"/>
  <c r="AP51" i="12"/>
  <c r="AO51" i="12"/>
  <c r="AO48" i="10"/>
  <c r="AF56" i="4"/>
  <c r="AC56" i="4"/>
  <c r="AE56" i="4"/>
  <c r="AN51" i="9"/>
  <c r="J52" i="9"/>
  <c r="K52" i="9" s="1"/>
  <c r="L52" i="9" s="1"/>
  <c r="B53" i="9"/>
  <c r="Z52" i="9"/>
  <c r="AL52" i="9" s="1"/>
  <c r="J52" i="12"/>
  <c r="K52" i="12" s="1"/>
  <c r="L52" i="12" s="1"/>
  <c r="Z52" i="12"/>
  <c r="AM52" i="12" s="1"/>
  <c r="BD48" i="10"/>
  <c r="BE48" i="10"/>
  <c r="BI48" i="10"/>
  <c r="G49" i="10" s="1"/>
  <c r="BJ48" i="10"/>
  <c r="H49" i="10" s="1"/>
  <c r="Y49" i="10" s="1"/>
  <c r="R56" i="4"/>
  <c r="S56" i="4"/>
  <c r="I53" i="7"/>
  <c r="P56" i="4"/>
  <c r="U56" i="4"/>
  <c r="AJ56" i="4"/>
  <c r="AT56" i="4"/>
  <c r="J56" i="4"/>
  <c r="K56" i="4" s="1"/>
  <c r="L56" i="4" s="1"/>
  <c r="AH56" i="4"/>
  <c r="AI56" i="4"/>
  <c r="AQ48" i="10" l="1"/>
  <c r="X56" i="4"/>
  <c r="AP51" i="9"/>
  <c r="Y55" i="4"/>
  <c r="V53" i="7"/>
  <c r="D18" i="14"/>
  <c r="AQ51" i="12"/>
  <c r="AJ52" i="9"/>
  <c r="AA52" i="9"/>
  <c r="AB52" i="9" s="1"/>
  <c r="AC52" i="9" s="1"/>
  <c r="AI52" i="9"/>
  <c r="AD52" i="9"/>
  <c r="AM52" i="9"/>
  <c r="AG52" i="9"/>
  <c r="S53" i="9"/>
  <c r="I53" i="9"/>
  <c r="AU56" i="4"/>
  <c r="AS56" i="4"/>
  <c r="H57" i="4" s="1"/>
  <c r="AR56" i="4"/>
  <c r="G57" i="4" s="1"/>
  <c r="AO56" i="4"/>
  <c r="D57" i="4" s="1"/>
  <c r="AP56" i="4"/>
  <c r="E57" i="4" s="1"/>
  <c r="AM56" i="4"/>
  <c r="B57" i="4" s="1"/>
  <c r="X49" i="10"/>
  <c r="AZ52" i="12"/>
  <c r="H53" i="12" s="1"/>
  <c r="AA52" i="12"/>
  <c r="AB52" i="12" s="1"/>
  <c r="AC52" i="12" s="1"/>
  <c r="AD52" i="12"/>
  <c r="BV52" i="12"/>
  <c r="BA52" i="12"/>
  <c r="AN52" i="12"/>
  <c r="BU52" i="12"/>
  <c r="AJ52" i="12"/>
  <c r="BR52" i="12"/>
  <c r="AK52" i="12"/>
  <c r="BQ52" i="12"/>
  <c r="BT52" i="12"/>
  <c r="D49" i="10"/>
  <c r="U49" i="10" s="1"/>
  <c r="E49" i="10"/>
  <c r="V49" i="10" s="1"/>
  <c r="W56" i="4"/>
  <c r="B49" i="10"/>
  <c r="BL48" i="10"/>
  <c r="AH52" i="12"/>
  <c r="AB53" i="7"/>
  <c r="AD53" i="7"/>
  <c r="D54" i="7" s="1"/>
  <c r="AE53" i="7"/>
  <c r="E54" i="7" s="1"/>
  <c r="AG53" i="7"/>
  <c r="G54" i="7" s="1"/>
  <c r="AH53" i="7"/>
  <c r="H54" i="7" s="1"/>
  <c r="U53" i="7"/>
  <c r="J53" i="7"/>
  <c r="K53" i="7" s="1"/>
  <c r="L53" i="7" s="1"/>
  <c r="R53" i="7"/>
  <c r="S53" i="7"/>
  <c r="P53" i="7"/>
  <c r="BJ49" i="10"/>
  <c r="H50" i="10" s="1"/>
  <c r="Y50" i="10" s="1"/>
  <c r="BO52" i="12"/>
  <c r="Y56" i="4" l="1"/>
  <c r="AO52" i="9"/>
  <c r="AP52" i="12"/>
  <c r="AO52" i="12"/>
  <c r="X53" i="7"/>
  <c r="W53" i="7"/>
  <c r="AN52" i="9"/>
  <c r="J53" i="9"/>
  <c r="K53" i="9" s="1"/>
  <c r="L53" i="9" s="1"/>
  <c r="B54" i="9"/>
  <c r="Z53" i="9"/>
  <c r="AL53" i="9" s="1"/>
  <c r="AD54" i="7"/>
  <c r="D55" i="7" s="1"/>
  <c r="BF49" i="10"/>
  <c r="D50" i="10" s="1"/>
  <c r="U50" i="10" s="1"/>
  <c r="AO57" i="4"/>
  <c r="D58" i="4" s="1"/>
  <c r="B54" i="7"/>
  <c r="AI53" i="7"/>
  <c r="AJ53" i="7" s="1"/>
  <c r="S49" i="10"/>
  <c r="I49" i="10"/>
  <c r="Y53" i="12"/>
  <c r="I53" i="12"/>
  <c r="AR57" i="4"/>
  <c r="G58" i="4" s="1"/>
  <c r="AG54" i="7"/>
  <c r="G55" i="7" s="1"/>
  <c r="BB52" i="12"/>
  <c r="I57" i="4"/>
  <c r="V57" i="4" s="1"/>
  <c r="AM57" i="4"/>
  <c r="B58" i="4" s="1"/>
  <c r="AS57" i="4"/>
  <c r="H58" i="4" s="1"/>
  <c r="AH54" i="7"/>
  <c r="H55" i="7" s="1"/>
  <c r="BJ50" i="10"/>
  <c r="H51" i="10" s="1"/>
  <c r="Y51" i="10" s="1"/>
  <c r="AE54" i="7"/>
  <c r="E55" i="7" s="1"/>
  <c r="BG49" i="10"/>
  <c r="E50" i="10" s="1"/>
  <c r="V50" i="10" s="1"/>
  <c r="BI49" i="10"/>
  <c r="G50" i="10" s="1"/>
  <c r="AP57" i="4"/>
  <c r="E58" i="4" s="1"/>
  <c r="AP52" i="9" l="1"/>
  <c r="S57" i="4"/>
  <c r="AF57" i="4"/>
  <c r="AQ52" i="12"/>
  <c r="P57" i="4"/>
  <c r="B22" i="14"/>
  <c r="Y53" i="7"/>
  <c r="AG53" i="9"/>
  <c r="AI53" i="9"/>
  <c r="AA53" i="9"/>
  <c r="AB53" i="9" s="1"/>
  <c r="AC53" i="9" s="1"/>
  <c r="AJ53" i="9"/>
  <c r="AD53" i="9"/>
  <c r="AM53" i="9"/>
  <c r="S54" i="9"/>
  <c r="I54" i="9"/>
  <c r="X50" i="10"/>
  <c r="AE55" i="7"/>
  <c r="E56" i="7" s="1"/>
  <c r="BJ51" i="10"/>
  <c r="H52" i="10" s="1"/>
  <c r="Y52" i="10" s="1"/>
  <c r="AI57" i="4"/>
  <c r="AG55" i="7"/>
  <c r="G56" i="7" s="1"/>
  <c r="Z53" i="12"/>
  <c r="AM53" i="12" s="1"/>
  <c r="AB54" i="7"/>
  <c r="I54" i="7"/>
  <c r="AH55" i="7"/>
  <c r="H56" i="7" s="1"/>
  <c r="AT57" i="4"/>
  <c r="AU57" i="4" s="1"/>
  <c r="AJ57" i="4"/>
  <c r="J57" i="4"/>
  <c r="K57" i="4" s="1"/>
  <c r="L57" i="4" s="1"/>
  <c r="AH57" i="4"/>
  <c r="J49" i="10"/>
  <c r="K49" i="10" s="1"/>
  <c r="L49" i="10" s="1"/>
  <c r="R57" i="4"/>
  <c r="BF50" i="10"/>
  <c r="D51" i="10" s="1"/>
  <c r="U51" i="10" s="1"/>
  <c r="I58" i="4"/>
  <c r="AH58" i="4" s="1"/>
  <c r="U57" i="4"/>
  <c r="BD49" i="10"/>
  <c r="B50" i="10" s="1"/>
  <c r="Z49" i="10"/>
  <c r="AD55" i="7"/>
  <c r="D56" i="7" s="1"/>
  <c r="BG50" i="10"/>
  <c r="E51" i="10" s="1"/>
  <c r="V51" i="10" s="1"/>
  <c r="AC57" i="4"/>
  <c r="J53" i="12"/>
  <c r="K53" i="12" s="1"/>
  <c r="L53" i="12" s="1"/>
  <c r="AE57" i="4"/>
  <c r="AI58" i="4" l="1"/>
  <c r="V58" i="4"/>
  <c r="AE58" i="4"/>
  <c r="R58" i="4"/>
  <c r="U58" i="4"/>
  <c r="W57" i="4"/>
  <c r="X57" i="4"/>
  <c r="P58" i="4"/>
  <c r="B23" i="14"/>
  <c r="AO53" i="9"/>
  <c r="P54" i="7"/>
  <c r="D19" i="14"/>
  <c r="AH49" i="10"/>
  <c r="AM49" i="10"/>
  <c r="AA57" i="4"/>
  <c r="AT49" i="10"/>
  <c r="J54" i="9"/>
  <c r="K54" i="9" s="1"/>
  <c r="L54" i="9" s="1"/>
  <c r="B55" i="9"/>
  <c r="Z54" i="9"/>
  <c r="AL54" i="9" s="1"/>
  <c r="AN53" i="9"/>
  <c r="BG51" i="10"/>
  <c r="E52" i="10" s="1"/>
  <c r="V52" i="10" s="1"/>
  <c r="S50" i="10"/>
  <c r="I50" i="10"/>
  <c r="AC58" i="4"/>
  <c r="S58" i="4"/>
  <c r="B55" i="7"/>
  <c r="AI54" i="7"/>
  <c r="AJ54" i="7" s="1"/>
  <c r="AT53" i="12"/>
  <c r="B54" i="12" s="1"/>
  <c r="AV53" i="12"/>
  <c r="D54" i="12" s="1"/>
  <c r="U54" i="12" s="1"/>
  <c r="AY53" i="12"/>
  <c r="G54" i="12" s="1"/>
  <c r="AZ53" i="12"/>
  <c r="H54" i="12" s="1"/>
  <c r="Y54" i="12" s="1"/>
  <c r="AA53" i="12"/>
  <c r="AB53" i="12" s="1"/>
  <c r="AC53" i="12" s="1"/>
  <c r="AW53" i="12"/>
  <c r="E54" i="12" s="1"/>
  <c r="V54" i="12" s="1"/>
  <c r="BA53" i="12"/>
  <c r="AK53" i="12"/>
  <c r="BR53" i="12"/>
  <c r="AD53" i="12"/>
  <c r="BQ53" i="12"/>
  <c r="BO53" i="12"/>
  <c r="AJ53" i="12"/>
  <c r="AH53" i="12"/>
  <c r="BV53" i="12"/>
  <c r="BT53" i="12"/>
  <c r="AE56" i="7"/>
  <c r="E57" i="7" s="1"/>
  <c r="AD56" i="7"/>
  <c r="D57" i="7" s="1"/>
  <c r="AJ58" i="4"/>
  <c r="AT58" i="4"/>
  <c r="J58" i="4"/>
  <c r="AH56" i="7"/>
  <c r="H57" i="7" s="1"/>
  <c r="BU53" i="12"/>
  <c r="AG56" i="7"/>
  <c r="G57" i="7" s="1"/>
  <c r="BI50" i="10"/>
  <c r="G51" i="10" s="1"/>
  <c r="BA49" i="10"/>
  <c r="AA49" i="10"/>
  <c r="AB49" i="10" s="1"/>
  <c r="AC49" i="10" s="1"/>
  <c r="AD49" i="10"/>
  <c r="BL49" i="10"/>
  <c r="BK49" i="10"/>
  <c r="AZ49" i="10"/>
  <c r="AN49" i="10"/>
  <c r="AJ49" i="10"/>
  <c r="AK49" i="10"/>
  <c r="AW49" i="10"/>
  <c r="AV49" i="10"/>
  <c r="AY49" i="10"/>
  <c r="AF58" i="4"/>
  <c r="BF51" i="10"/>
  <c r="D52" i="10" s="1"/>
  <c r="U52" i="10" s="1"/>
  <c r="J54" i="7"/>
  <c r="K54" i="7" s="1"/>
  <c r="L54" i="7" s="1"/>
  <c r="R54" i="7"/>
  <c r="U54" i="7"/>
  <c r="V54" i="7"/>
  <c r="S54" i="7"/>
  <c r="AN53" i="12"/>
  <c r="W58" i="4" l="1"/>
  <c r="Y57" i="4"/>
  <c r="AP53" i="9"/>
  <c r="X58" i="4"/>
  <c r="Y58" i="4" s="1"/>
  <c r="X54" i="7"/>
  <c r="AP49" i="10"/>
  <c r="AP53" i="12"/>
  <c r="AO53" i="12"/>
  <c r="AO49" i="10"/>
  <c r="W54" i="7"/>
  <c r="AG54" i="9"/>
  <c r="AI54" i="9"/>
  <c r="AA54" i="9"/>
  <c r="AB54" i="9" s="1"/>
  <c r="AC54" i="9" s="1"/>
  <c r="AJ54" i="9"/>
  <c r="AD54" i="9"/>
  <c r="AM54" i="9"/>
  <c r="S55" i="9"/>
  <c r="I55" i="9"/>
  <c r="BB53" i="12"/>
  <c r="AU58" i="4"/>
  <c r="AO58" i="4"/>
  <c r="D59" i="4" s="1"/>
  <c r="AP58" i="4"/>
  <c r="E59" i="4" s="1"/>
  <c r="AS58" i="4"/>
  <c r="H59" i="4" s="1"/>
  <c r="AR58" i="4"/>
  <c r="G59" i="4" s="1"/>
  <c r="AM58" i="4"/>
  <c r="B59" i="4" s="1"/>
  <c r="S54" i="12"/>
  <c r="I54" i="12"/>
  <c r="AZ54" i="12"/>
  <c r="H55" i="12" s="1"/>
  <c r="Y55" i="12" s="1"/>
  <c r="J50" i="10"/>
  <c r="K50" i="10" s="1"/>
  <c r="L50" i="10" s="1"/>
  <c r="AD57" i="7"/>
  <c r="D58" i="7" s="1"/>
  <c r="X54" i="12"/>
  <c r="AB55" i="7"/>
  <c r="I55" i="7"/>
  <c r="BD50" i="10"/>
  <c r="B51" i="10" s="1"/>
  <c r="Z50" i="10"/>
  <c r="AH57" i="7"/>
  <c r="H58" i="7" s="1"/>
  <c r="X51" i="10"/>
  <c r="AG57" i="7"/>
  <c r="G58" i="7" s="1"/>
  <c r="I70" i="4"/>
  <c r="B10" i="8" s="1"/>
  <c r="H10" i="8" s="1"/>
  <c r="K58" i="4"/>
  <c r="AE57" i="7"/>
  <c r="E58" i="7" s="1"/>
  <c r="AW54" i="12"/>
  <c r="E55" i="12" s="1"/>
  <c r="V55" i="12" s="1"/>
  <c r="AV54" i="12"/>
  <c r="D55" i="12" s="1"/>
  <c r="U55" i="12" s="1"/>
  <c r="Y54" i="7" l="1"/>
  <c r="P55" i="7"/>
  <c r="D20" i="14"/>
  <c r="AO54" i="9"/>
  <c r="AQ49" i="10"/>
  <c r="AQ53" i="12"/>
  <c r="AT50" i="10"/>
  <c r="AM50" i="10"/>
  <c r="Z55" i="9"/>
  <c r="B56" i="9"/>
  <c r="J55" i="9"/>
  <c r="K55" i="9" s="1"/>
  <c r="L55" i="9" s="1"/>
  <c r="AN54" i="9"/>
  <c r="S51" i="10"/>
  <c r="I51" i="10"/>
  <c r="J54" i="12"/>
  <c r="K54" i="12" s="1"/>
  <c r="L54" i="12" s="1"/>
  <c r="I59" i="4"/>
  <c r="AM59" i="4"/>
  <c r="B60" i="4" s="1"/>
  <c r="AO59" i="4"/>
  <c r="D60" i="4" s="1"/>
  <c r="AW55" i="12"/>
  <c r="E56" i="12" s="1"/>
  <c r="V56" i="12" s="1"/>
  <c r="L58" i="4"/>
  <c r="I71" i="4"/>
  <c r="B11" i="8" s="1"/>
  <c r="H11" i="8" s="1"/>
  <c r="AH50" i="10"/>
  <c r="AY54" i="12"/>
  <c r="G55" i="12" s="1"/>
  <c r="Z54" i="12"/>
  <c r="AH54" i="12" s="1"/>
  <c r="AT54" i="12"/>
  <c r="B55" i="12" s="1"/>
  <c r="AR59" i="4"/>
  <c r="G60" i="4" s="1"/>
  <c r="AV55" i="12"/>
  <c r="D56" i="12" s="1"/>
  <c r="U56" i="12" s="1"/>
  <c r="BI51" i="10"/>
  <c r="G52" i="10" s="1"/>
  <c r="J55" i="7"/>
  <c r="K55" i="7" s="1"/>
  <c r="L55" i="7" s="1"/>
  <c r="S55" i="7"/>
  <c r="U55" i="7"/>
  <c r="V55" i="7"/>
  <c r="R55" i="7"/>
  <c r="AS59" i="4"/>
  <c r="H60" i="4" s="1"/>
  <c r="AA50" i="10"/>
  <c r="AB50" i="10" s="1"/>
  <c r="AC50" i="10" s="1"/>
  <c r="BA50" i="10"/>
  <c r="BK50" i="10"/>
  <c r="AD50" i="10"/>
  <c r="BL50" i="10"/>
  <c r="AN50" i="10"/>
  <c r="AZ50" i="10"/>
  <c r="AW50" i="10"/>
  <c r="AJ50" i="10"/>
  <c r="AK50" i="10"/>
  <c r="AV50" i="10"/>
  <c r="AY50" i="10"/>
  <c r="B56" i="7"/>
  <c r="AI55" i="7"/>
  <c r="AJ55" i="7" s="1"/>
  <c r="AZ55" i="12"/>
  <c r="H56" i="12" s="1"/>
  <c r="Y56" i="12" s="1"/>
  <c r="AP59" i="4"/>
  <c r="E60" i="4" s="1"/>
  <c r="P59" i="4" l="1"/>
  <c r="B24" i="14"/>
  <c r="AP54" i="9"/>
  <c r="AI59" i="4"/>
  <c r="AP50" i="10"/>
  <c r="X55" i="7"/>
  <c r="AO50" i="10"/>
  <c r="AM54" i="12"/>
  <c r="W55" i="7"/>
  <c r="R59" i="4"/>
  <c r="S59" i="4"/>
  <c r="AF59" i="4"/>
  <c r="AH59" i="4"/>
  <c r="U59" i="4"/>
  <c r="AC59" i="4"/>
  <c r="AE59" i="4"/>
  <c r="V59" i="4"/>
  <c r="AG55" i="9"/>
  <c r="AL55" i="9"/>
  <c r="I56" i="9"/>
  <c r="S56" i="9"/>
  <c r="AA55" i="9"/>
  <c r="AB55" i="9" s="1"/>
  <c r="AC55" i="9" s="1"/>
  <c r="AJ55" i="9"/>
  <c r="AM55" i="9"/>
  <c r="AD55" i="9"/>
  <c r="AI55" i="9"/>
  <c r="X52" i="10"/>
  <c r="X55" i="12"/>
  <c r="AB56" i="7"/>
  <c r="I56" i="7"/>
  <c r="S55" i="12"/>
  <c r="I55" i="12"/>
  <c r="J51" i="10"/>
  <c r="K51" i="10" s="1"/>
  <c r="L51" i="10" s="1"/>
  <c r="AZ56" i="12"/>
  <c r="H57" i="12" s="1"/>
  <c r="Y57" i="12" s="1"/>
  <c r="AA54" i="12"/>
  <c r="AB54" i="12" s="1"/>
  <c r="AC54" i="12" s="1"/>
  <c r="AD54" i="12"/>
  <c r="BV54" i="12"/>
  <c r="BB54" i="12"/>
  <c r="BA54" i="12"/>
  <c r="AN54" i="12"/>
  <c r="AJ54" i="12"/>
  <c r="AK54" i="12"/>
  <c r="BR54" i="12"/>
  <c r="BU54" i="12"/>
  <c r="BQ54" i="12"/>
  <c r="AT59" i="4"/>
  <c r="AU59" i="4" s="1"/>
  <c r="AJ59" i="4"/>
  <c r="J59" i="4"/>
  <c r="K59" i="4" s="1"/>
  <c r="L59" i="4" s="1"/>
  <c r="BD51" i="10"/>
  <c r="B52" i="10" s="1"/>
  <c r="Z51" i="10"/>
  <c r="AV56" i="12"/>
  <c r="D57" i="12" s="1"/>
  <c r="U57" i="12" s="1"/>
  <c r="BO54" i="12"/>
  <c r="BT54" i="12"/>
  <c r="AW56" i="12"/>
  <c r="E57" i="12" s="1"/>
  <c r="V57" i="12" s="1"/>
  <c r="I60" i="4"/>
  <c r="Y55" i="7" l="1"/>
  <c r="AF60" i="4"/>
  <c r="B25" i="14"/>
  <c r="AQ50" i="10"/>
  <c r="P56" i="7"/>
  <c r="D21" i="14"/>
  <c r="AO55" i="9"/>
  <c r="W59" i="4"/>
  <c r="X59" i="4"/>
  <c r="AP54" i="12"/>
  <c r="AO54" i="12"/>
  <c r="AH51" i="10"/>
  <c r="AM51" i="10"/>
  <c r="AN55" i="9"/>
  <c r="Z56" i="9"/>
  <c r="AL56" i="9" s="1"/>
  <c r="B57" i="9"/>
  <c r="J56" i="9"/>
  <c r="K56" i="9" s="1"/>
  <c r="L56" i="9" s="1"/>
  <c r="P60" i="4"/>
  <c r="BA51" i="10"/>
  <c r="AA51" i="10"/>
  <c r="AB51" i="10" s="1"/>
  <c r="AC51" i="10" s="1"/>
  <c r="AD51" i="10"/>
  <c r="BL51" i="10"/>
  <c r="BK51" i="10"/>
  <c r="AZ51" i="10"/>
  <c r="AN51" i="10"/>
  <c r="AK51" i="10"/>
  <c r="AV51" i="10"/>
  <c r="AJ51" i="10"/>
  <c r="AW51" i="10"/>
  <c r="AY51" i="10"/>
  <c r="U60" i="4"/>
  <c r="AZ57" i="12"/>
  <c r="H58" i="12" s="1"/>
  <c r="Y58" i="12" s="1"/>
  <c r="Z55" i="12"/>
  <c r="AH55" i="12" s="1"/>
  <c r="AT55" i="12"/>
  <c r="B56" i="12" s="1"/>
  <c r="V60" i="4"/>
  <c r="AW57" i="12"/>
  <c r="E58" i="12" s="1"/>
  <c r="V58" i="12" s="1"/>
  <c r="S52" i="10"/>
  <c r="I52" i="10"/>
  <c r="AH60" i="4"/>
  <c r="AE60" i="4"/>
  <c r="AY55" i="12"/>
  <c r="G56" i="12" s="1"/>
  <c r="AI60" i="4"/>
  <c r="AC60" i="4"/>
  <c r="AV57" i="12"/>
  <c r="D58" i="12" s="1"/>
  <c r="U58" i="12" s="1"/>
  <c r="AT51" i="10"/>
  <c r="R60" i="4"/>
  <c r="J56" i="7"/>
  <c r="K56" i="7" s="1"/>
  <c r="L56" i="7" s="1"/>
  <c r="S56" i="7"/>
  <c r="U56" i="7"/>
  <c r="R56" i="7"/>
  <c r="V56" i="7"/>
  <c r="AJ60" i="4"/>
  <c r="J60" i="4"/>
  <c r="K60" i="4" s="1"/>
  <c r="L60" i="4" s="1"/>
  <c r="AT60" i="4"/>
  <c r="J55" i="12"/>
  <c r="K55" i="12" s="1"/>
  <c r="L55" i="12" s="1"/>
  <c r="AI56" i="7"/>
  <c r="AJ56" i="7" s="1"/>
  <c r="B57" i="7"/>
  <c r="S60" i="4"/>
  <c r="Y59" i="4" l="1"/>
  <c r="AP55" i="9"/>
  <c r="X56" i="7"/>
  <c r="X60" i="4"/>
  <c r="AP51" i="10"/>
  <c r="AQ54" i="12"/>
  <c r="AO51" i="10"/>
  <c r="AM55" i="12"/>
  <c r="W56" i="7"/>
  <c r="BT55" i="12"/>
  <c r="S57" i="9"/>
  <c r="I57" i="9"/>
  <c r="AG56" i="9"/>
  <c r="AJ56" i="9"/>
  <c r="AD56" i="9"/>
  <c r="AM56" i="9"/>
  <c r="AA56" i="9"/>
  <c r="AB56" i="9" s="1"/>
  <c r="AC56" i="9" s="1"/>
  <c r="AI56" i="9"/>
  <c r="I57" i="7"/>
  <c r="AB57" i="7"/>
  <c r="BO55" i="12"/>
  <c r="AU60" i="4"/>
  <c r="AO60" i="4"/>
  <c r="D61" i="4" s="1"/>
  <c r="AP60" i="4"/>
  <c r="E61" i="4" s="1"/>
  <c r="AS60" i="4"/>
  <c r="H61" i="4" s="1"/>
  <c r="AR60" i="4"/>
  <c r="G61" i="4" s="1"/>
  <c r="AM60" i="4"/>
  <c r="B61" i="4" s="1"/>
  <c r="X56" i="12"/>
  <c r="J52" i="10"/>
  <c r="K52" i="10" s="1"/>
  <c r="L52" i="10" s="1"/>
  <c r="S56" i="12"/>
  <c r="I56" i="12"/>
  <c r="Z52" i="10"/>
  <c r="AA55" i="12"/>
  <c r="AB55" i="12" s="1"/>
  <c r="AC55" i="12" s="1"/>
  <c r="BB55" i="12"/>
  <c r="BV55" i="12"/>
  <c r="BA55" i="12"/>
  <c r="AD55" i="12"/>
  <c r="BR55" i="12"/>
  <c r="BQ55" i="12"/>
  <c r="AK55" i="12"/>
  <c r="AJ55" i="12"/>
  <c r="BU55" i="12"/>
  <c r="AN55" i="12"/>
  <c r="W60" i="4"/>
  <c r="AO56" i="9" l="1"/>
  <c r="AP55" i="12"/>
  <c r="Y56" i="7"/>
  <c r="Y60" i="4"/>
  <c r="P57" i="7"/>
  <c r="D22" i="14"/>
  <c r="AQ51" i="10"/>
  <c r="AO55" i="12"/>
  <c r="AT52" i="10"/>
  <c r="AM52" i="10"/>
  <c r="Z57" i="9"/>
  <c r="B58" i="9"/>
  <c r="AN56" i="9"/>
  <c r="AP56" i="9" s="1"/>
  <c r="J57" i="9"/>
  <c r="K57" i="9" s="1"/>
  <c r="L57" i="9" s="1"/>
  <c r="I61" i="4"/>
  <c r="AC61" i="4" s="1"/>
  <c r="AM61" i="4"/>
  <c r="B62" i="4" s="1"/>
  <c r="AO61" i="4"/>
  <c r="D62" i="4" s="1"/>
  <c r="BK52" i="10"/>
  <c r="AA52" i="10"/>
  <c r="AB52" i="10" s="1"/>
  <c r="AC52" i="10" s="1"/>
  <c r="BA52" i="10"/>
  <c r="AD52" i="10"/>
  <c r="AZ52" i="10"/>
  <c r="AN52" i="10"/>
  <c r="AV52" i="10"/>
  <c r="AJ52" i="10"/>
  <c r="AW52" i="10"/>
  <c r="AK52" i="10"/>
  <c r="AY52" i="10"/>
  <c r="J56" i="12"/>
  <c r="K56" i="12" s="1"/>
  <c r="L56" i="12" s="1"/>
  <c r="AY56" i="12"/>
  <c r="G57" i="12" s="1"/>
  <c r="AR61" i="4"/>
  <c r="G62" i="4" s="1"/>
  <c r="B58" i="7"/>
  <c r="AI57" i="7"/>
  <c r="AJ57" i="7" s="1"/>
  <c r="Z56" i="12"/>
  <c r="AH56" i="12" s="1"/>
  <c r="AT56" i="12"/>
  <c r="B57" i="12" s="1"/>
  <c r="AS61" i="4"/>
  <c r="H62" i="4" s="1"/>
  <c r="AH52" i="10"/>
  <c r="AP61" i="4"/>
  <c r="E62" i="4" s="1"/>
  <c r="J57" i="7"/>
  <c r="K57" i="7" s="1"/>
  <c r="L57" i="7" s="1"/>
  <c r="R57" i="7"/>
  <c r="S57" i="7"/>
  <c r="U57" i="7"/>
  <c r="V57" i="7"/>
  <c r="AQ55" i="12" l="1"/>
  <c r="AI61" i="4"/>
  <c r="V61" i="4"/>
  <c r="U61" i="4"/>
  <c r="X57" i="7"/>
  <c r="P61" i="4"/>
  <c r="B26" i="14"/>
  <c r="AP52" i="10"/>
  <c r="AO52" i="10"/>
  <c r="AM56" i="12"/>
  <c r="W57" i="7"/>
  <c r="AF61" i="4"/>
  <c r="S61" i="4"/>
  <c r="AH61" i="4"/>
  <c r="AE61" i="4"/>
  <c r="AG57" i="9"/>
  <c r="AL57" i="9"/>
  <c r="I58" i="9"/>
  <c r="S58" i="9"/>
  <c r="AJ57" i="9"/>
  <c r="AA57" i="9"/>
  <c r="AB57" i="9" s="1"/>
  <c r="AC57" i="9" s="1"/>
  <c r="AM57" i="9"/>
  <c r="AD57" i="9"/>
  <c r="AI57" i="9"/>
  <c r="AP62" i="4"/>
  <c r="E63" i="4" s="1"/>
  <c r="AA56" i="12"/>
  <c r="AB56" i="12" s="1"/>
  <c r="AC56" i="12" s="1"/>
  <c r="BV56" i="12"/>
  <c r="BB56" i="12"/>
  <c r="AD56" i="12"/>
  <c r="BA56" i="12"/>
  <c r="BU56" i="12"/>
  <c r="BR56" i="12"/>
  <c r="BQ56" i="12"/>
  <c r="AN56" i="12"/>
  <c r="AJ56" i="12"/>
  <c r="AK56" i="12"/>
  <c r="BO56" i="12"/>
  <c r="AR62" i="4"/>
  <c r="G63" i="4" s="1"/>
  <c r="BD52" i="10"/>
  <c r="BF52" i="10"/>
  <c r="D53" i="10" s="1"/>
  <c r="U53" i="10" s="1"/>
  <c r="BG52" i="10"/>
  <c r="E53" i="10" s="1"/>
  <c r="V53" i="10" s="1"/>
  <c r="BI52" i="10"/>
  <c r="G53" i="10" s="1"/>
  <c r="BJ52" i="10"/>
  <c r="H53" i="10" s="1"/>
  <c r="Y53" i="10" s="1"/>
  <c r="AM62" i="4"/>
  <c r="B63" i="4" s="1"/>
  <c r="I62" i="4"/>
  <c r="V62" i="4" s="1"/>
  <c r="I58" i="7"/>
  <c r="D23" i="14" s="1"/>
  <c r="BT56" i="12"/>
  <c r="AS62" i="4"/>
  <c r="H63" i="4" s="1"/>
  <c r="S57" i="12"/>
  <c r="I57" i="12"/>
  <c r="X57" i="12"/>
  <c r="R61" i="4"/>
  <c r="AO62" i="4"/>
  <c r="D63" i="4" s="1"/>
  <c r="AJ61" i="4"/>
  <c r="AT61" i="4"/>
  <c r="AU61" i="4" s="1"/>
  <c r="J61" i="4"/>
  <c r="K61" i="4" s="1"/>
  <c r="L61" i="4" s="1"/>
  <c r="I63" i="4" l="1"/>
  <c r="AF63" i="4" s="1"/>
  <c r="S63" i="4"/>
  <c r="AI63" i="4"/>
  <c r="V63" i="4"/>
  <c r="AH63" i="4"/>
  <c r="U63" i="4"/>
  <c r="AE63" i="4"/>
  <c r="R63" i="4"/>
  <c r="AC63" i="4"/>
  <c r="P63" i="4"/>
  <c r="Y57" i="7"/>
  <c r="AI62" i="4"/>
  <c r="AE62" i="4"/>
  <c r="R62" i="4"/>
  <c r="W61" i="4"/>
  <c r="AO57" i="9"/>
  <c r="X61" i="4"/>
  <c r="S62" i="4"/>
  <c r="B27" i="14"/>
  <c r="AP56" i="12"/>
  <c r="AQ52" i="10"/>
  <c r="AO56" i="12"/>
  <c r="AN57" i="9"/>
  <c r="Z58" i="9"/>
  <c r="B59" i="9"/>
  <c r="J58" i="9"/>
  <c r="AY57" i="12"/>
  <c r="G58" i="12" s="1"/>
  <c r="AH58" i="7"/>
  <c r="J58" i="7"/>
  <c r="U58" i="7"/>
  <c r="S58" i="7"/>
  <c r="R58" i="7"/>
  <c r="V58" i="7"/>
  <c r="J57" i="12"/>
  <c r="K57" i="12" s="1"/>
  <c r="L57" i="12" s="1"/>
  <c r="AC62" i="4"/>
  <c r="B53" i="10"/>
  <c r="BL52" i="10"/>
  <c r="AF62" i="4"/>
  <c r="Z57" i="12"/>
  <c r="BO57" i="12" s="1"/>
  <c r="AT57" i="12"/>
  <c r="B58" i="12" s="1"/>
  <c r="P62" i="4"/>
  <c r="X53" i="10"/>
  <c r="AH62" i="4"/>
  <c r="P58" i="7"/>
  <c r="AJ62" i="4"/>
  <c r="K62" i="4"/>
  <c r="L62" i="4" s="1"/>
  <c r="AT62" i="4"/>
  <c r="AU62" i="4" s="1"/>
  <c r="U62" i="4"/>
  <c r="W63" i="4" l="1"/>
  <c r="X63" i="4"/>
  <c r="K63" i="4"/>
  <c r="L63" i="4" s="1"/>
  <c r="AJ63" i="4"/>
  <c r="B28" i="14"/>
  <c r="AT63" i="4"/>
  <c r="AP57" i="9"/>
  <c r="Y61" i="4"/>
  <c r="X62" i="4"/>
  <c r="AQ56" i="12"/>
  <c r="AM57" i="12"/>
  <c r="X58" i="7"/>
  <c r="W58" i="7"/>
  <c r="AG58" i="9"/>
  <c r="AL58" i="9"/>
  <c r="AH57" i="12"/>
  <c r="K58" i="9"/>
  <c r="I70" i="9"/>
  <c r="C25" i="8" s="1"/>
  <c r="I59" i="9"/>
  <c r="S59" i="9"/>
  <c r="AM58" i="9"/>
  <c r="AI58" i="9"/>
  <c r="AD58" i="9"/>
  <c r="AJ58" i="9"/>
  <c r="AA58" i="9"/>
  <c r="AB58" i="9" s="1"/>
  <c r="AC58" i="9" s="1"/>
  <c r="S53" i="10"/>
  <c r="I53" i="10"/>
  <c r="I70" i="7"/>
  <c r="D10" i="8" s="1"/>
  <c r="K58" i="7"/>
  <c r="S58" i="12"/>
  <c r="I58" i="12"/>
  <c r="H59" i="7"/>
  <c r="AI58" i="7"/>
  <c r="AJ58" i="7" s="1"/>
  <c r="W62" i="4"/>
  <c r="AA57" i="12"/>
  <c r="AB57" i="12" s="1"/>
  <c r="AC57" i="12" s="1"/>
  <c r="BA57" i="12"/>
  <c r="BB57" i="12"/>
  <c r="BV57" i="12"/>
  <c r="AD57" i="12"/>
  <c r="AN57" i="12"/>
  <c r="AK57" i="12"/>
  <c r="BQ57" i="12"/>
  <c r="BU57" i="12"/>
  <c r="BR57" i="12"/>
  <c r="AJ57" i="12"/>
  <c r="BT57" i="12"/>
  <c r="X58" i="12"/>
  <c r="AU63" i="4" l="1"/>
  <c r="AR63" i="4"/>
  <c r="G64" i="4" s="1"/>
  <c r="AP63" i="4"/>
  <c r="E64" i="4" s="1"/>
  <c r="AO63" i="4"/>
  <c r="D64" i="4" s="1"/>
  <c r="AS63" i="4"/>
  <c r="H64" i="4" s="1"/>
  <c r="AM63" i="4"/>
  <c r="B64" i="4" s="1"/>
  <c r="Y63" i="4"/>
  <c r="AO58" i="9"/>
  <c r="Y62" i="4"/>
  <c r="AP57" i="12"/>
  <c r="Y58" i="7"/>
  <c r="AO57" i="12"/>
  <c r="G10" i="8"/>
  <c r="F10" i="8"/>
  <c r="AN58" i="9"/>
  <c r="Z59" i="9"/>
  <c r="AL59" i="9" s="1"/>
  <c r="B60" i="9"/>
  <c r="J59" i="9"/>
  <c r="K59" i="9" s="1"/>
  <c r="L59" i="9" s="1"/>
  <c r="I71" i="9"/>
  <c r="C26" i="8" s="1"/>
  <c r="L58" i="9"/>
  <c r="I71" i="7"/>
  <c r="D11" i="8" s="1"/>
  <c r="L58" i="7"/>
  <c r="J53" i="10"/>
  <c r="K53" i="10" s="1"/>
  <c r="L53" i="10" s="1"/>
  <c r="I59" i="7"/>
  <c r="J58" i="12"/>
  <c r="Z53" i="10"/>
  <c r="Z58" i="12"/>
  <c r="BO58" i="12" s="1"/>
  <c r="AM64" i="4" l="1"/>
  <c r="I64" i="4"/>
  <c r="AE64" i="4" s="1"/>
  <c r="AS64" i="4"/>
  <c r="AI64" i="4"/>
  <c r="V64" i="4"/>
  <c r="AO64" i="4"/>
  <c r="I66" i="4" s="1"/>
  <c r="I72" i="4" s="1"/>
  <c r="AP64" i="4"/>
  <c r="S64" i="4"/>
  <c r="AR64" i="4"/>
  <c r="U64" i="4"/>
  <c r="V59" i="7"/>
  <c r="D24" i="14"/>
  <c r="AP58" i="9"/>
  <c r="AQ57" i="12"/>
  <c r="AH53" i="10"/>
  <c r="AM53" i="10"/>
  <c r="AM58" i="12"/>
  <c r="G11" i="8"/>
  <c r="F11" i="8"/>
  <c r="I60" i="9"/>
  <c r="S60" i="9"/>
  <c r="AI59" i="9"/>
  <c r="AJ59" i="9"/>
  <c r="AA59" i="9"/>
  <c r="AB59" i="9" s="1"/>
  <c r="AC59" i="9" s="1"/>
  <c r="AM59" i="9"/>
  <c r="AD59" i="9"/>
  <c r="AG59" i="9"/>
  <c r="BT58" i="12"/>
  <c r="BK53" i="10"/>
  <c r="AD53" i="10"/>
  <c r="AA53" i="10"/>
  <c r="AB53" i="10" s="1"/>
  <c r="AC53" i="10" s="1"/>
  <c r="BA53" i="10"/>
  <c r="AJ53" i="10"/>
  <c r="AK53" i="10"/>
  <c r="AN53" i="10"/>
  <c r="AW53" i="10"/>
  <c r="AZ53" i="10"/>
  <c r="AV53" i="10"/>
  <c r="AY53" i="10"/>
  <c r="I70" i="12"/>
  <c r="D25" i="8" s="1"/>
  <c r="G25" i="8" s="1"/>
  <c r="K58" i="12"/>
  <c r="AT53" i="10"/>
  <c r="AZ58" i="12"/>
  <c r="H59" i="12" s="1"/>
  <c r="AA58" i="12"/>
  <c r="AB58" i="12" s="1"/>
  <c r="AC58" i="12" s="1"/>
  <c r="AD58" i="12"/>
  <c r="BV58" i="12"/>
  <c r="BA58" i="12"/>
  <c r="BQ58" i="12"/>
  <c r="BR58" i="12"/>
  <c r="AN58" i="12"/>
  <c r="AJ58" i="12"/>
  <c r="AK58" i="12"/>
  <c r="BU58" i="12"/>
  <c r="AH58" i="12"/>
  <c r="AG59" i="7"/>
  <c r="G60" i="7" s="1"/>
  <c r="AD59" i="7"/>
  <c r="D60" i="7" s="1"/>
  <c r="AH59" i="7"/>
  <c r="H60" i="7" s="1"/>
  <c r="AE59" i="7"/>
  <c r="E60" i="7" s="1"/>
  <c r="AB59" i="7"/>
  <c r="R59" i="7"/>
  <c r="S59" i="7"/>
  <c r="J59" i="7"/>
  <c r="K59" i="7" s="1"/>
  <c r="L59" i="7" s="1"/>
  <c r="U59" i="7"/>
  <c r="P59" i="7"/>
  <c r="AC64" i="4" l="1"/>
  <c r="AF64" i="4"/>
  <c r="P64" i="4"/>
  <c r="AH64" i="4"/>
  <c r="K64" i="4"/>
  <c r="L64" i="4" s="1"/>
  <c r="AJ64" i="4"/>
  <c r="AT64" i="4"/>
  <c r="AU64" i="4" s="1"/>
  <c r="R64" i="4"/>
  <c r="AO59" i="9"/>
  <c r="AP53" i="10"/>
  <c r="AP58" i="12"/>
  <c r="X59" i="7"/>
  <c r="AO58" i="12"/>
  <c r="AO53" i="10"/>
  <c r="BB58" i="12"/>
  <c r="J60" i="9"/>
  <c r="K60" i="9" s="1"/>
  <c r="L60" i="9" s="1"/>
  <c r="AN59" i="9"/>
  <c r="Z60" i="9"/>
  <c r="B61" i="9"/>
  <c r="I67" i="4"/>
  <c r="I69" i="4" s="1"/>
  <c r="B6" i="8"/>
  <c r="B60" i="7"/>
  <c r="AI59" i="7"/>
  <c r="AJ59" i="7" s="1"/>
  <c r="AE60" i="7"/>
  <c r="E61" i="7" s="1"/>
  <c r="Y59" i="12"/>
  <c r="I59" i="12"/>
  <c r="BD53" i="10"/>
  <c r="BF53" i="10"/>
  <c r="D54" i="10" s="1"/>
  <c r="U54" i="10" s="1"/>
  <c r="BG53" i="10"/>
  <c r="E54" i="10" s="1"/>
  <c r="V54" i="10" s="1"/>
  <c r="BI53" i="10"/>
  <c r="G54" i="10" s="1"/>
  <c r="BJ53" i="10"/>
  <c r="H54" i="10" s="1"/>
  <c r="Y54" i="10" s="1"/>
  <c r="W59" i="7"/>
  <c r="AD60" i="7"/>
  <c r="D61" i="7" s="1"/>
  <c r="AH60" i="7"/>
  <c r="H61" i="7" s="1"/>
  <c r="AG60" i="7"/>
  <c r="G61" i="7" s="1"/>
  <c r="L58" i="12"/>
  <c r="I71" i="12"/>
  <c r="D26" i="8" s="1"/>
  <c r="G26" i="8" s="1"/>
  <c r="I68" i="4" l="1"/>
  <c r="B8" i="8" s="1"/>
  <c r="W64" i="4"/>
  <c r="B14" i="8"/>
  <c r="X64" i="4"/>
  <c r="Y64" i="4" s="1"/>
  <c r="H6" i="8"/>
  <c r="B2" i="18"/>
  <c r="Y59" i="7"/>
  <c r="AP59" i="9"/>
  <c r="AQ53" i="10"/>
  <c r="AQ58" i="12"/>
  <c r="AG60" i="9"/>
  <c r="AL60" i="9"/>
  <c r="I61" i="9"/>
  <c r="S61" i="9"/>
  <c r="AA60" i="9"/>
  <c r="AB60" i="9" s="1"/>
  <c r="AC60" i="9" s="1"/>
  <c r="AD60" i="9"/>
  <c r="AM60" i="9"/>
  <c r="AI60" i="9"/>
  <c r="AJ60" i="9"/>
  <c r="Z59" i="12"/>
  <c r="BF54" i="10"/>
  <c r="D55" i="10" s="1"/>
  <c r="U55" i="10" s="1"/>
  <c r="BG54" i="10"/>
  <c r="E55" i="10" s="1"/>
  <c r="V55" i="10" s="1"/>
  <c r="AD61" i="7"/>
  <c r="D62" i="7" s="1"/>
  <c r="AG61" i="7"/>
  <c r="G62" i="7" s="1"/>
  <c r="BJ54" i="10"/>
  <c r="H55" i="10" s="1"/>
  <c r="Y55" i="10" s="1"/>
  <c r="B54" i="10"/>
  <c r="BL53" i="10"/>
  <c r="AE61" i="7"/>
  <c r="E62" i="7" s="1"/>
  <c r="AB60" i="7"/>
  <c r="I60" i="7"/>
  <c r="D25" i="14" s="1"/>
  <c r="AH61" i="7"/>
  <c r="H62" i="7" s="1"/>
  <c r="X54" i="10"/>
  <c r="J59" i="12"/>
  <c r="K59" i="12" s="1"/>
  <c r="L59" i="12" s="1"/>
  <c r="B9" i="8"/>
  <c r="B7" i="8"/>
  <c r="H7" i="8" s="1"/>
  <c r="H8" i="8" l="1"/>
  <c r="N8" i="8"/>
  <c r="H9" i="8"/>
  <c r="AO60" i="9"/>
  <c r="BU59" i="12"/>
  <c r="AM59" i="12"/>
  <c r="AN60" i="9"/>
  <c r="J61" i="9"/>
  <c r="K61" i="9" s="1"/>
  <c r="L61" i="9" s="1"/>
  <c r="Z61" i="9"/>
  <c r="B62" i="9"/>
  <c r="J60" i="7"/>
  <c r="K60" i="7" s="1"/>
  <c r="L60" i="7" s="1"/>
  <c r="V60" i="7"/>
  <c r="U60" i="7"/>
  <c r="S60" i="7"/>
  <c r="R60" i="7"/>
  <c r="AE62" i="7"/>
  <c r="E63" i="7" s="1"/>
  <c r="AG62" i="7"/>
  <c r="G63" i="7" s="1"/>
  <c r="BF55" i="10"/>
  <c r="D56" i="10" s="1"/>
  <c r="U56" i="10" s="1"/>
  <c r="BJ55" i="10"/>
  <c r="H56" i="10" s="1"/>
  <c r="Y56" i="10" s="1"/>
  <c r="BG55" i="10"/>
  <c r="E56" i="10" s="1"/>
  <c r="V56" i="10" s="1"/>
  <c r="AN59" i="12"/>
  <c r="P60" i="7"/>
  <c r="S54" i="10"/>
  <c r="I54" i="10"/>
  <c r="AD62" i="7"/>
  <c r="D63" i="7" s="1"/>
  <c r="B61" i="7"/>
  <c r="AI60" i="7"/>
  <c r="AJ60" i="7" s="1"/>
  <c r="BI54" i="10"/>
  <c r="G55" i="10" s="1"/>
  <c r="AH62" i="7"/>
  <c r="H63" i="7" s="1"/>
  <c r="AV59" i="12"/>
  <c r="D60" i="12" s="1"/>
  <c r="U60" i="12" s="1"/>
  <c r="AW59" i="12"/>
  <c r="E60" i="12" s="1"/>
  <c r="V60" i="12" s="1"/>
  <c r="AY59" i="12"/>
  <c r="G60" i="12" s="1"/>
  <c r="AZ59" i="12"/>
  <c r="H60" i="12" s="1"/>
  <c r="Y60" i="12" s="1"/>
  <c r="AT59" i="12"/>
  <c r="B60" i="12" s="1"/>
  <c r="AA59" i="12"/>
  <c r="AB59" i="12" s="1"/>
  <c r="AC59" i="12" s="1"/>
  <c r="BA59" i="12"/>
  <c r="BT59" i="12"/>
  <c r="BQ59" i="12"/>
  <c r="AJ59" i="12"/>
  <c r="AH59" i="12"/>
  <c r="AD59" i="12"/>
  <c r="BO59" i="12"/>
  <c r="BR59" i="12"/>
  <c r="AK59" i="12"/>
  <c r="BV59" i="12"/>
  <c r="AD63" i="7" l="1"/>
  <c r="D64" i="7" s="1"/>
  <c r="AG63" i="7"/>
  <c r="G64" i="7" s="1"/>
  <c r="AE63" i="7"/>
  <c r="E64" i="7" s="1"/>
  <c r="AE64" i="7" s="1"/>
  <c r="AH63" i="7"/>
  <c r="H64" i="7" s="1"/>
  <c r="AP60" i="9"/>
  <c r="AP59" i="12"/>
  <c r="AO59" i="12"/>
  <c r="W60" i="7"/>
  <c r="X60" i="7"/>
  <c r="AG61" i="9"/>
  <c r="AL61" i="9"/>
  <c r="AD61" i="9"/>
  <c r="AJ61" i="9"/>
  <c r="AI61" i="9"/>
  <c r="AA61" i="9"/>
  <c r="AB61" i="9" s="1"/>
  <c r="AC61" i="9" s="1"/>
  <c r="AM61" i="9"/>
  <c r="S62" i="9"/>
  <c r="B63" i="9" s="1"/>
  <c r="I62" i="9"/>
  <c r="AW60" i="12"/>
  <c r="E61" i="12" s="1"/>
  <c r="V61" i="12" s="1"/>
  <c r="AW61" i="12" s="1"/>
  <c r="AZ60" i="12"/>
  <c r="H61" i="12" s="1"/>
  <c r="Y61" i="12" s="1"/>
  <c r="AZ61" i="12" s="1"/>
  <c r="Z54" i="10"/>
  <c r="AM54" i="10" s="1"/>
  <c r="BD54" i="10"/>
  <c r="B55" i="10" s="1"/>
  <c r="BB59" i="12"/>
  <c r="X60" i="12"/>
  <c r="AB61" i="7"/>
  <c r="I61" i="7"/>
  <c r="S60" i="12"/>
  <c r="I60" i="12"/>
  <c r="AV60" i="12"/>
  <c r="D61" i="12" s="1"/>
  <c r="U61" i="12" s="1"/>
  <c r="AV61" i="12" s="1"/>
  <c r="X55" i="10"/>
  <c r="J54" i="10"/>
  <c r="K54" i="10" s="1"/>
  <c r="L54" i="10" s="1"/>
  <c r="I63" i="9" l="1"/>
  <c r="J63" i="9" s="1"/>
  <c r="K63" i="9" s="1"/>
  <c r="L63" i="9" s="1"/>
  <c r="S63" i="9"/>
  <c r="AG64" i="7"/>
  <c r="AD64" i="7"/>
  <c r="AH64" i="7"/>
  <c r="AQ59" i="12"/>
  <c r="P61" i="7"/>
  <c r="D26" i="14"/>
  <c r="AO61" i="9"/>
  <c r="Y60" i="7"/>
  <c r="AN61" i="9"/>
  <c r="J62" i="9"/>
  <c r="K62" i="9" s="1"/>
  <c r="L62" i="9" s="1"/>
  <c r="Z62" i="9"/>
  <c r="AL62" i="9" s="1"/>
  <c r="Z60" i="12"/>
  <c r="BO60" i="12" s="1"/>
  <c r="AT60" i="12"/>
  <c r="B61" i="12" s="1"/>
  <c r="S55" i="10"/>
  <c r="I55" i="10"/>
  <c r="H62" i="12"/>
  <c r="Y62" i="12" s="1"/>
  <c r="AZ62" i="12" s="1"/>
  <c r="H63" i="12" s="1"/>
  <c r="Y63" i="12" s="1"/>
  <c r="J61" i="7"/>
  <c r="K61" i="7" s="1"/>
  <c r="L61" i="7" s="1"/>
  <c r="U61" i="7"/>
  <c r="S61" i="7"/>
  <c r="V61" i="7"/>
  <c r="R61" i="7"/>
  <c r="BL54" i="10"/>
  <c r="BK54" i="10"/>
  <c r="AD54" i="10"/>
  <c r="AA54" i="10"/>
  <c r="AB54" i="10" s="1"/>
  <c r="AC54" i="10" s="1"/>
  <c r="BA54" i="10"/>
  <c r="AJ54" i="10"/>
  <c r="AK54" i="10"/>
  <c r="AN54" i="10"/>
  <c r="AV54" i="10"/>
  <c r="AW54" i="10"/>
  <c r="AZ54" i="10"/>
  <c r="AY54" i="10"/>
  <c r="D62" i="12"/>
  <c r="U62" i="12" s="1"/>
  <c r="AV62" i="12" s="1"/>
  <c r="D63" i="12" s="1"/>
  <c r="U63" i="12" s="1"/>
  <c r="B62" i="7"/>
  <c r="AI61" i="7"/>
  <c r="AJ61" i="7" s="1"/>
  <c r="AY60" i="12"/>
  <c r="G61" i="12" s="1"/>
  <c r="AT54" i="10"/>
  <c r="BI55" i="10"/>
  <c r="G56" i="10" s="1"/>
  <c r="J60" i="12"/>
  <c r="K60" i="12" s="1"/>
  <c r="L60" i="12" s="1"/>
  <c r="AH54" i="10"/>
  <c r="E62" i="12"/>
  <c r="V62" i="12" s="1"/>
  <c r="AW62" i="12" s="1"/>
  <c r="E63" i="12" s="1"/>
  <c r="B64" i="9" l="1"/>
  <c r="Z63" i="9"/>
  <c r="V63" i="12"/>
  <c r="AV63" i="12"/>
  <c r="D64" i="12" s="1"/>
  <c r="U64" i="12" s="1"/>
  <c r="AZ63" i="12"/>
  <c r="H64" i="12" s="1"/>
  <c r="Y64" i="12" s="1"/>
  <c r="AP54" i="10"/>
  <c r="W61" i="7"/>
  <c r="AP61" i="9"/>
  <c r="AM60" i="12"/>
  <c r="AO54" i="10"/>
  <c r="X61" i="7"/>
  <c r="BT60" i="12"/>
  <c r="AA62" i="9"/>
  <c r="AB62" i="9" s="1"/>
  <c r="AC62" i="9" s="1"/>
  <c r="AJ62" i="9"/>
  <c r="AM62" i="9"/>
  <c r="AD62" i="9"/>
  <c r="AI62" i="9"/>
  <c r="AG62" i="9"/>
  <c r="X61" i="12"/>
  <c r="AY61" i="12" s="1"/>
  <c r="AH60" i="12"/>
  <c r="J55" i="10"/>
  <c r="K55" i="10" s="1"/>
  <c r="L55" i="10" s="1"/>
  <c r="X56" i="10"/>
  <c r="AB62" i="7"/>
  <c r="B63" i="7" s="1"/>
  <c r="I62" i="7"/>
  <c r="BD55" i="10"/>
  <c r="B56" i="10" s="1"/>
  <c r="Z55" i="10"/>
  <c r="AM55" i="10" s="1"/>
  <c r="S61" i="12"/>
  <c r="AT61" i="12" s="1"/>
  <c r="I61" i="12"/>
  <c r="AA60" i="12"/>
  <c r="AB60" i="12" s="1"/>
  <c r="AC60" i="12" s="1"/>
  <c r="AD60" i="12"/>
  <c r="BV60" i="12"/>
  <c r="BB60" i="12"/>
  <c r="BA60" i="12"/>
  <c r="AN60" i="12"/>
  <c r="BQ60" i="12"/>
  <c r="BR60" i="12"/>
  <c r="BU60" i="12"/>
  <c r="AJ60" i="12"/>
  <c r="AK60" i="12"/>
  <c r="AO62" i="9" l="1"/>
  <c r="Y61" i="7"/>
  <c r="AQ54" i="10"/>
  <c r="AD63" i="9"/>
  <c r="AA63" i="9"/>
  <c r="AB63" i="9" s="1"/>
  <c r="AC63" i="9" s="1"/>
  <c r="AJ63" i="9"/>
  <c r="AM63" i="9"/>
  <c r="AI63" i="9"/>
  <c r="AL63" i="9"/>
  <c r="S64" i="9"/>
  <c r="B65" i="9" s="1"/>
  <c r="I64" i="9"/>
  <c r="J64" i="9" s="1"/>
  <c r="K64" i="9" s="1"/>
  <c r="L64" i="9" s="1"/>
  <c r="AB63" i="7"/>
  <c r="I63" i="7"/>
  <c r="AG63" i="9"/>
  <c r="AV64" i="12"/>
  <c r="D65" i="12" s="1"/>
  <c r="U65" i="12" s="1"/>
  <c r="AZ64" i="12"/>
  <c r="H65" i="12" s="1"/>
  <c r="Y65" i="12" s="1"/>
  <c r="AW63" i="12"/>
  <c r="E64" i="12" s="1"/>
  <c r="V64" i="12" s="1"/>
  <c r="P62" i="7"/>
  <c r="D27" i="14"/>
  <c r="AP60" i="12"/>
  <c r="AO60" i="12"/>
  <c r="AN62" i="9"/>
  <c r="AP62" i="9" s="1"/>
  <c r="BA55" i="10"/>
  <c r="AD55" i="10"/>
  <c r="BK55" i="10"/>
  <c r="AA55" i="10"/>
  <c r="AB55" i="10" s="1"/>
  <c r="AC55" i="10" s="1"/>
  <c r="BL55" i="10"/>
  <c r="AZ55" i="10"/>
  <c r="AK55" i="10"/>
  <c r="AV55" i="10"/>
  <c r="AN55" i="10"/>
  <c r="AJ55" i="10"/>
  <c r="AW55" i="10"/>
  <c r="AY55" i="10"/>
  <c r="G62" i="12"/>
  <c r="J61" i="12"/>
  <c r="K61" i="12" s="1"/>
  <c r="L61" i="12" s="1"/>
  <c r="S56" i="10"/>
  <c r="I56" i="10"/>
  <c r="AI62" i="7"/>
  <c r="AJ62" i="7" s="1"/>
  <c r="B62" i="12"/>
  <c r="Z61" i="12"/>
  <c r="AH55" i="10"/>
  <c r="J62" i="7"/>
  <c r="K62" i="7" s="1"/>
  <c r="L62" i="7" s="1"/>
  <c r="S62" i="7"/>
  <c r="R62" i="7"/>
  <c r="U62" i="7"/>
  <c r="V62" i="7"/>
  <c r="AT55" i="10"/>
  <c r="Y66" i="12" l="1"/>
  <c r="AZ65" i="12"/>
  <c r="H66" i="12" s="1"/>
  <c r="U66" i="12"/>
  <c r="AV65" i="12"/>
  <c r="D66" i="12" s="1"/>
  <c r="I65" i="9"/>
  <c r="J65" i="9" s="1"/>
  <c r="K65" i="9" s="1"/>
  <c r="L65" i="9" s="1"/>
  <c r="S65" i="9"/>
  <c r="AO63" i="9"/>
  <c r="J63" i="7"/>
  <c r="K63" i="7" s="1"/>
  <c r="L63" i="7" s="1"/>
  <c r="D28" i="14"/>
  <c r="R63" i="7"/>
  <c r="U63" i="7"/>
  <c r="S63" i="7"/>
  <c r="V63" i="7"/>
  <c r="B64" i="7"/>
  <c r="AI63" i="7"/>
  <c r="AJ63" i="7" s="1"/>
  <c r="P63" i="7"/>
  <c r="BO61" i="12"/>
  <c r="BA61" i="12"/>
  <c r="BB61" i="12"/>
  <c r="Z64" i="9"/>
  <c r="AG64" i="9" s="1"/>
  <c r="AN63" i="9"/>
  <c r="AP63" i="9" s="1"/>
  <c r="AW64" i="12"/>
  <c r="E65" i="12" s="1"/>
  <c r="V65" i="12" s="1"/>
  <c r="AP55" i="10"/>
  <c r="AQ60" i="12"/>
  <c r="X62" i="7"/>
  <c r="AO55" i="10"/>
  <c r="AM61" i="12"/>
  <c r="W62" i="7"/>
  <c r="AH61" i="12"/>
  <c r="AA61" i="12"/>
  <c r="AB61" i="12" s="1"/>
  <c r="AC61" i="12" s="1"/>
  <c r="AD61" i="12"/>
  <c r="BV61" i="12"/>
  <c r="AN61" i="12"/>
  <c r="BU61" i="12"/>
  <c r="AJ61" i="12"/>
  <c r="BQ61" i="12"/>
  <c r="BR61" i="12"/>
  <c r="AK61" i="12"/>
  <c r="J56" i="10"/>
  <c r="K56" i="10" s="1"/>
  <c r="L56" i="10" s="1"/>
  <c r="BT61" i="12"/>
  <c r="S62" i="12"/>
  <c r="AT62" i="12" s="1"/>
  <c r="B63" i="12" s="1"/>
  <c r="I62" i="12"/>
  <c r="Z56" i="10"/>
  <c r="X62" i="12"/>
  <c r="AY62" i="12" s="1"/>
  <c r="G63" i="12" s="1"/>
  <c r="X63" i="12" s="1"/>
  <c r="V66" i="12" l="1"/>
  <c r="AW65" i="12"/>
  <c r="E66" i="12" s="1"/>
  <c r="S66" i="9"/>
  <c r="Z65" i="9"/>
  <c r="AG65" i="9" s="1"/>
  <c r="I64" i="7"/>
  <c r="P64" i="7" s="1"/>
  <c r="AB64" i="7"/>
  <c r="AI64" i="7" s="1"/>
  <c r="AL64" i="9"/>
  <c r="AD64" i="9"/>
  <c r="AA64" i="9"/>
  <c r="AB64" i="9" s="1"/>
  <c r="AC64" i="9" s="1"/>
  <c r="AI64" i="9"/>
  <c r="AM64" i="9"/>
  <c r="AJ64" i="9"/>
  <c r="W63" i="7"/>
  <c r="X63" i="7"/>
  <c r="AY63" i="12"/>
  <c r="G64" i="12" s="1"/>
  <c r="X64" i="12" s="1"/>
  <c r="S63" i="12"/>
  <c r="I63" i="12"/>
  <c r="J63" i="12" s="1"/>
  <c r="K63" i="12" s="1"/>
  <c r="L63" i="12" s="1"/>
  <c r="Y62" i="7"/>
  <c r="AQ55" i="10"/>
  <c r="AP61" i="12"/>
  <c r="AH56" i="10"/>
  <c r="AM56" i="10"/>
  <c r="AO61" i="12"/>
  <c r="AT56" i="10"/>
  <c r="Z62" i="12"/>
  <c r="J62" i="12"/>
  <c r="K62" i="12" s="1"/>
  <c r="L62" i="12" s="1"/>
  <c r="BK56" i="10"/>
  <c r="AA56" i="10"/>
  <c r="AB56" i="10" s="1"/>
  <c r="AC56" i="10" s="1"/>
  <c r="BA56" i="10"/>
  <c r="AD56" i="10"/>
  <c r="AW56" i="10"/>
  <c r="AJ56" i="10"/>
  <c r="AK56" i="10"/>
  <c r="AV56" i="10"/>
  <c r="AZ56" i="10"/>
  <c r="AN56" i="10"/>
  <c r="AY56" i="10"/>
  <c r="Z66" i="9" l="1"/>
  <c r="I67" i="9" s="1"/>
  <c r="B66" i="9"/>
  <c r="I66" i="9" s="1"/>
  <c r="C21" i="8" s="1"/>
  <c r="C22" i="8"/>
  <c r="AA65" i="9"/>
  <c r="AD65" i="9"/>
  <c r="AJ65" i="9"/>
  <c r="AM65" i="9"/>
  <c r="AL65" i="9"/>
  <c r="AI65" i="9"/>
  <c r="C30" i="8"/>
  <c r="AJ64" i="7"/>
  <c r="AN64" i="9"/>
  <c r="AO64" i="9"/>
  <c r="Y63" i="7"/>
  <c r="I66" i="7"/>
  <c r="S64" i="7"/>
  <c r="X64" i="7" s="1"/>
  <c r="J64" i="7"/>
  <c r="K64" i="7" s="1"/>
  <c r="L64" i="7" s="1"/>
  <c r="D8" i="8" s="1"/>
  <c r="F8" i="8" s="1"/>
  <c r="U64" i="7"/>
  <c r="R64" i="7"/>
  <c r="V64" i="7"/>
  <c r="AT63" i="12"/>
  <c r="B64" i="12" s="1"/>
  <c r="Z63" i="12"/>
  <c r="AH62" i="12"/>
  <c r="BA62" i="12"/>
  <c r="BB62" i="12"/>
  <c r="AY64" i="12"/>
  <c r="G65" i="12" s="1"/>
  <c r="X65" i="12" s="1"/>
  <c r="AP56" i="10"/>
  <c r="AQ61" i="12"/>
  <c r="AO56" i="10"/>
  <c r="AM62" i="12"/>
  <c r="D14" i="8"/>
  <c r="BT62" i="12"/>
  <c r="BO62" i="12"/>
  <c r="BD56" i="10"/>
  <c r="BF56" i="10"/>
  <c r="D57" i="10" s="1"/>
  <c r="U57" i="10" s="1"/>
  <c r="BG56" i="10"/>
  <c r="E57" i="10" s="1"/>
  <c r="V57" i="10" s="1"/>
  <c r="BI56" i="10"/>
  <c r="G57" i="10" s="1"/>
  <c r="BJ56" i="10"/>
  <c r="H57" i="10" s="1"/>
  <c r="Y57" i="10" s="1"/>
  <c r="AA62" i="12"/>
  <c r="AB62" i="12" s="1"/>
  <c r="AC62" i="12" s="1"/>
  <c r="AD62" i="12"/>
  <c r="BV62" i="12"/>
  <c r="BU62" i="12"/>
  <c r="AK62" i="12"/>
  <c r="AJ62" i="12"/>
  <c r="AN62" i="12"/>
  <c r="BQ62" i="12"/>
  <c r="BR62" i="12"/>
  <c r="I73" i="9" l="1"/>
  <c r="AB65" i="9"/>
  <c r="AC65" i="9" s="1"/>
  <c r="I68" i="9" s="1"/>
  <c r="C23" i="8" s="1"/>
  <c r="I74" i="9"/>
  <c r="X66" i="12"/>
  <c r="AY65" i="12"/>
  <c r="G66" i="12" s="1"/>
  <c r="I69" i="9"/>
  <c r="C24" i="8" s="1"/>
  <c r="I67" i="7"/>
  <c r="I69" i="7" s="1"/>
  <c r="I72" i="7"/>
  <c r="AO65" i="9"/>
  <c r="AN65" i="9"/>
  <c r="AP65" i="9" s="1"/>
  <c r="D6" i="8"/>
  <c r="B3" i="18" s="1"/>
  <c r="G8" i="8"/>
  <c r="AP64" i="9"/>
  <c r="W64" i="7"/>
  <c r="Y64" i="7" s="1"/>
  <c r="BA63" i="12"/>
  <c r="BB63" i="12"/>
  <c r="AA63" i="12"/>
  <c r="AB63" i="12" s="1"/>
  <c r="AC63" i="12" s="1"/>
  <c r="AD63" i="12"/>
  <c r="AN63" i="12"/>
  <c r="AJ63" i="12"/>
  <c r="AK63" i="12"/>
  <c r="AM63" i="12"/>
  <c r="AH63" i="12"/>
  <c r="S64" i="12"/>
  <c r="I64" i="12"/>
  <c r="J64" i="12" s="1"/>
  <c r="K64" i="12" s="1"/>
  <c r="L64" i="12" s="1"/>
  <c r="AP62" i="12"/>
  <c r="AQ56" i="10"/>
  <c r="AO62" i="12"/>
  <c r="BF57" i="10"/>
  <c r="D58" i="10" s="1"/>
  <c r="U58" i="10" s="1"/>
  <c r="BJ57" i="10"/>
  <c r="H58" i="10" s="1"/>
  <c r="Y58" i="10" s="1"/>
  <c r="B57" i="10"/>
  <c r="BL56" i="10"/>
  <c r="X57" i="10"/>
  <c r="BG57" i="10"/>
  <c r="E58" i="10" s="1"/>
  <c r="V58" i="10" s="1"/>
  <c r="D7" i="8"/>
  <c r="D9" i="8"/>
  <c r="F6" i="8" l="1"/>
  <c r="G6" i="8"/>
  <c r="J6" i="8"/>
  <c r="K6" i="8"/>
  <c r="AT64" i="12"/>
  <c r="B65" i="12" s="1"/>
  <c r="Z64" i="12"/>
  <c r="BV64" i="12" s="1"/>
  <c r="AO63" i="12"/>
  <c r="AP63" i="12"/>
  <c r="AQ62" i="12"/>
  <c r="G9" i="8"/>
  <c r="F9" i="8"/>
  <c r="G7" i="8"/>
  <c r="F7" i="8"/>
  <c r="BI57" i="10"/>
  <c r="G58" i="10" s="1"/>
  <c r="S57" i="10"/>
  <c r="I57" i="10"/>
  <c r="S65" i="12" l="1"/>
  <c r="I65" i="12"/>
  <c r="J65" i="12" s="1"/>
  <c r="K65" i="12" s="1"/>
  <c r="L65" i="12" s="1"/>
  <c r="BQ64" i="12"/>
  <c r="BO64" i="12"/>
  <c r="AQ63" i="12"/>
  <c r="BR64" i="12"/>
  <c r="AH64" i="12"/>
  <c r="BU64" i="12"/>
  <c r="BA64" i="12"/>
  <c r="BB64" i="12"/>
  <c r="AA64" i="12"/>
  <c r="AB64" i="12" s="1"/>
  <c r="AC64" i="12" s="1"/>
  <c r="AD64" i="12"/>
  <c r="AJ64" i="12"/>
  <c r="AN64" i="12"/>
  <c r="AK64" i="12"/>
  <c r="AM64" i="12"/>
  <c r="BT64" i="12"/>
  <c r="X58" i="10"/>
  <c r="J57" i="10"/>
  <c r="K57" i="10" s="1"/>
  <c r="L57" i="10" s="1"/>
  <c r="BD57" i="10"/>
  <c r="B58" i="10" s="1"/>
  <c r="Z57" i="10"/>
  <c r="S66" i="12" l="1"/>
  <c r="Z66" i="12" s="1"/>
  <c r="I67" i="12" s="1"/>
  <c r="Z65" i="12"/>
  <c r="BO65" i="12" s="1"/>
  <c r="AT65" i="12"/>
  <c r="D30" i="8"/>
  <c r="AO64" i="12"/>
  <c r="AP64" i="12"/>
  <c r="AT57" i="10"/>
  <c r="AM57" i="10"/>
  <c r="AH57" i="10"/>
  <c r="BL57" i="10"/>
  <c r="AA57" i="10"/>
  <c r="AB57" i="10" s="1"/>
  <c r="AC57" i="10" s="1"/>
  <c r="AD57" i="10"/>
  <c r="BA57" i="10"/>
  <c r="BK57" i="10"/>
  <c r="AZ57" i="10"/>
  <c r="AK57" i="10"/>
  <c r="AV57" i="10"/>
  <c r="AN57" i="10"/>
  <c r="AJ57" i="10"/>
  <c r="AW57" i="10"/>
  <c r="AY57" i="10"/>
  <c r="S58" i="10"/>
  <c r="I58" i="10"/>
  <c r="AH65" i="12" l="1"/>
  <c r="AD65" i="12"/>
  <c r="AA65" i="12"/>
  <c r="BA65" i="12"/>
  <c r="BV65" i="12"/>
  <c r="BU65" i="12"/>
  <c r="BQ65" i="12"/>
  <c r="AJ65" i="12"/>
  <c r="AN65" i="12"/>
  <c r="AK65" i="12"/>
  <c r="BR65" i="12"/>
  <c r="AM65" i="12"/>
  <c r="BT65" i="12"/>
  <c r="B66" i="12"/>
  <c r="I66" i="12" s="1"/>
  <c r="BB65" i="12"/>
  <c r="I69" i="12"/>
  <c r="D24" i="8" s="1"/>
  <c r="G24" i="8" s="1"/>
  <c r="D22" i="8"/>
  <c r="G22" i="8" s="1"/>
  <c r="AQ64" i="12"/>
  <c r="AP57" i="10"/>
  <c r="AO57" i="10"/>
  <c r="J58" i="10"/>
  <c r="Z58" i="10"/>
  <c r="AM58" i="10" s="1"/>
  <c r="AB65" i="12" l="1"/>
  <c r="AC65" i="12" s="1"/>
  <c r="I68" i="12" s="1"/>
  <c r="D23" i="8" s="1"/>
  <c r="G23" i="8" s="1"/>
  <c r="I74" i="12"/>
  <c r="AP65" i="12"/>
  <c r="D21" i="8"/>
  <c r="I73" i="12"/>
  <c r="AO65" i="12"/>
  <c r="AQ57" i="10"/>
  <c r="BK58" i="10"/>
  <c r="AA58" i="10"/>
  <c r="AB58" i="10" s="1"/>
  <c r="AC58" i="10" s="1"/>
  <c r="AD58" i="10"/>
  <c r="BA58" i="10"/>
  <c r="AN58" i="10"/>
  <c r="AK58" i="10"/>
  <c r="AZ58" i="10"/>
  <c r="AJ58" i="10"/>
  <c r="AW58" i="10"/>
  <c r="AV58" i="10"/>
  <c r="AY58" i="10"/>
  <c r="AH58" i="10"/>
  <c r="AT58" i="10"/>
  <c r="I70" i="10"/>
  <c r="B25" i="8" s="1"/>
  <c r="K58" i="10"/>
  <c r="AQ65" i="12" l="1"/>
  <c r="G21" i="8"/>
  <c r="K21" i="8"/>
  <c r="AP58" i="10"/>
  <c r="F25" i="8"/>
  <c r="H25" i="8"/>
  <c r="AO58" i="10"/>
  <c r="I71" i="10"/>
  <c r="B26" i="8" s="1"/>
  <c r="L58" i="10"/>
  <c r="BD58" i="10"/>
  <c r="BF58" i="10"/>
  <c r="D59" i="10" s="1"/>
  <c r="U59" i="10" s="1"/>
  <c r="BG58" i="10"/>
  <c r="E59" i="10" s="1"/>
  <c r="V59" i="10" s="1"/>
  <c r="BI58" i="10"/>
  <c r="G59" i="10" s="1"/>
  <c r="BJ58" i="10"/>
  <c r="H59" i="10" s="1"/>
  <c r="Y59" i="10" s="1"/>
  <c r="AQ58" i="10" l="1"/>
  <c r="F26" i="8"/>
  <c r="H26" i="8"/>
  <c r="BG59" i="10"/>
  <c r="E60" i="10" s="1"/>
  <c r="V60" i="10" s="1"/>
  <c r="BF59" i="10"/>
  <c r="D60" i="10" s="1"/>
  <c r="U60" i="10" s="1"/>
  <c r="B59" i="10"/>
  <c r="BL58" i="10"/>
  <c r="BJ59" i="10"/>
  <c r="H60" i="10" s="1"/>
  <c r="Y60" i="10" s="1"/>
  <c r="X59" i="10"/>
  <c r="BI59" i="10" l="1"/>
  <c r="G60" i="10" s="1"/>
  <c r="S59" i="10"/>
  <c r="I59" i="10"/>
  <c r="X60" i="10" l="1"/>
  <c r="J59" i="10"/>
  <c r="K59" i="10" s="1"/>
  <c r="L59" i="10" s="1"/>
  <c r="BD59" i="10"/>
  <c r="B60" i="10" s="1"/>
  <c r="Z59" i="10"/>
  <c r="AT59" i="10" l="1"/>
  <c r="AM59" i="10"/>
  <c r="AH59" i="10"/>
  <c r="AA59" i="10"/>
  <c r="AB59" i="10" s="1"/>
  <c r="AC59" i="10" s="1"/>
  <c r="BK59" i="10"/>
  <c r="AD59" i="10"/>
  <c r="BA59" i="10"/>
  <c r="BL59" i="10"/>
  <c r="AJ59" i="10"/>
  <c r="AW59" i="10"/>
  <c r="AV59" i="10"/>
  <c r="AZ59" i="10"/>
  <c r="AK59" i="10"/>
  <c r="AN59" i="10"/>
  <c r="AY59" i="10"/>
  <c r="S60" i="10"/>
  <c r="I60" i="10"/>
  <c r="AP59" i="10" l="1"/>
  <c r="AO59" i="10"/>
  <c r="J60" i="10"/>
  <c r="K60" i="10" s="1"/>
  <c r="L60" i="10" s="1"/>
  <c r="Z60" i="10"/>
  <c r="AM60" i="10" s="1"/>
  <c r="AQ59" i="10" l="1"/>
  <c r="BK60" i="10"/>
  <c r="BA60" i="10"/>
  <c r="AA60" i="10"/>
  <c r="AB60" i="10" s="1"/>
  <c r="AC60" i="10" s="1"/>
  <c r="AD60" i="10"/>
  <c r="AV60" i="10"/>
  <c r="AJ60" i="10"/>
  <c r="AK60" i="10"/>
  <c r="AZ60" i="10"/>
  <c r="AW60" i="10"/>
  <c r="AN60" i="10"/>
  <c r="AY60" i="10"/>
  <c r="AH60" i="10"/>
  <c r="AT60" i="10"/>
  <c r="AP60" i="10" l="1"/>
  <c r="AO60" i="10"/>
  <c r="BD60" i="10"/>
  <c r="BG60" i="10"/>
  <c r="E61" i="10" s="1"/>
  <c r="V61" i="10" s="1"/>
  <c r="BJ60" i="10"/>
  <c r="H61" i="10" s="1"/>
  <c r="Y61" i="10" s="1"/>
  <c r="BF60" i="10"/>
  <c r="D61" i="10" s="1"/>
  <c r="U61" i="10" s="1"/>
  <c r="BI60" i="10"/>
  <c r="G61" i="10" s="1"/>
  <c r="AQ60" i="10" l="1"/>
  <c r="BF61" i="10"/>
  <c r="D62" i="10" s="1"/>
  <c r="U62" i="10" s="1"/>
  <c r="BJ61" i="10"/>
  <c r="H62" i="10" s="1"/>
  <c r="Y62" i="10" s="1"/>
  <c r="X61" i="10"/>
  <c r="BG61" i="10"/>
  <c r="E62" i="10" s="1"/>
  <c r="V62" i="10" s="1"/>
  <c r="B61" i="10"/>
  <c r="BL60" i="10"/>
  <c r="BJ62" i="10" l="1"/>
  <c r="H63" i="10" s="1"/>
  <c r="Y63" i="10" s="1"/>
  <c r="BG62" i="10"/>
  <c r="E63" i="10" s="1"/>
  <c r="BI61" i="10"/>
  <c r="G62" i="10" s="1"/>
  <c r="I61" i="10"/>
  <c r="S61" i="10"/>
  <c r="BF62" i="10"/>
  <c r="D63" i="10" s="1"/>
  <c r="U63" i="10" s="1"/>
  <c r="BJ63" i="10" l="1"/>
  <c r="H64" i="10" s="1"/>
  <c r="Y64" i="10" s="1"/>
  <c r="BF63" i="10"/>
  <c r="D64" i="10" s="1"/>
  <c r="U64" i="10" s="1"/>
  <c r="V63" i="10"/>
  <c r="J61" i="10"/>
  <c r="K61" i="10" s="1"/>
  <c r="L61" i="10" s="1"/>
  <c r="X62" i="10"/>
  <c r="BD61" i="10"/>
  <c r="B62" i="10" s="1"/>
  <c r="Z61" i="10"/>
  <c r="BG63" i="10" l="1"/>
  <c r="E64" i="10" s="1"/>
  <c r="V64" i="10" s="1"/>
  <c r="AT61" i="10"/>
  <c r="AM61" i="10"/>
  <c r="BI62" i="10"/>
  <c r="G63" i="10" s="1"/>
  <c r="X63" i="10" s="1"/>
  <c r="AD61" i="10"/>
  <c r="BL61" i="10"/>
  <c r="BK61" i="10"/>
  <c r="AA61" i="10"/>
  <c r="AB61" i="10" s="1"/>
  <c r="AC61" i="10" s="1"/>
  <c r="BA61" i="10"/>
  <c r="AJ61" i="10"/>
  <c r="AZ61" i="10"/>
  <c r="AK61" i="10"/>
  <c r="AV61" i="10"/>
  <c r="AW61" i="10"/>
  <c r="AN61" i="10"/>
  <c r="AY61" i="10"/>
  <c r="AH61" i="10"/>
  <c r="I62" i="10"/>
  <c r="S62" i="10"/>
  <c r="BI63" i="10" l="1"/>
  <c r="G64" i="10" s="1"/>
  <c r="X64" i="10" s="1"/>
  <c r="AP61" i="10"/>
  <c r="AO61" i="10"/>
  <c r="J62" i="10"/>
  <c r="K62" i="10" s="1"/>
  <c r="L62" i="10" s="1"/>
  <c r="BD62" i="10"/>
  <c r="B63" i="10" s="1"/>
  <c r="Z62" i="10"/>
  <c r="S63" i="10" l="1"/>
  <c r="I63" i="10"/>
  <c r="J63" i="10" s="1"/>
  <c r="K63" i="10" s="1"/>
  <c r="L63" i="10" s="1"/>
  <c r="AQ61" i="10"/>
  <c r="AT62" i="10"/>
  <c r="AM62" i="10"/>
  <c r="BA62" i="10"/>
  <c r="BK62" i="10"/>
  <c r="AA62" i="10"/>
  <c r="AB62" i="10" s="1"/>
  <c r="AC62" i="10" s="1"/>
  <c r="AD62" i="10"/>
  <c r="BL62" i="10"/>
  <c r="AJ62" i="10"/>
  <c r="AZ62" i="10"/>
  <c r="AW62" i="10"/>
  <c r="AV62" i="10"/>
  <c r="AN62" i="10"/>
  <c r="AK62" i="10"/>
  <c r="AY62" i="10"/>
  <c r="AH62" i="10"/>
  <c r="BD63" i="10" l="1"/>
  <c r="B64" i="10" s="1"/>
  <c r="Z63" i="10"/>
  <c r="AP62" i="10"/>
  <c r="AO62" i="10"/>
  <c r="BA63" i="10" l="1"/>
  <c r="BK63" i="10"/>
  <c r="BL63" i="10"/>
  <c r="AD63" i="10"/>
  <c r="AA63" i="10"/>
  <c r="AB63" i="10" s="1"/>
  <c r="AC63" i="10" s="1"/>
  <c r="AZ63" i="10"/>
  <c r="AV63" i="10"/>
  <c r="AJ63" i="10"/>
  <c r="AN63" i="10"/>
  <c r="AW63" i="10"/>
  <c r="AK63" i="10"/>
  <c r="AY63" i="10"/>
  <c r="AM63" i="10"/>
  <c r="AH63" i="10"/>
  <c r="AT63" i="10"/>
  <c r="I64" i="10"/>
  <c r="J64" i="10" s="1"/>
  <c r="K64" i="10" s="1"/>
  <c r="L64" i="10" s="1"/>
  <c r="S64" i="10"/>
  <c r="AQ62" i="10"/>
  <c r="AP63" i="10" l="1"/>
  <c r="AO63" i="10"/>
  <c r="Z64" i="10"/>
  <c r="AH64" i="10" s="1"/>
  <c r="AT64" i="10" l="1"/>
  <c r="AK64" i="10"/>
  <c r="AA64" i="10"/>
  <c r="AB64" i="10" s="1"/>
  <c r="AC64" i="10" s="1"/>
  <c r="AD64" i="10"/>
  <c r="BA64" i="10"/>
  <c r="BK64" i="10"/>
  <c r="AN64" i="10"/>
  <c r="AV64" i="10"/>
  <c r="AZ64" i="10"/>
  <c r="AJ64" i="10"/>
  <c r="AW64" i="10"/>
  <c r="AY64" i="10"/>
  <c r="AM64" i="10"/>
  <c r="AQ63" i="10"/>
  <c r="BF64" i="10" l="1"/>
  <c r="D65" i="10" s="1"/>
  <c r="U65" i="10" s="1"/>
  <c r="BD64" i="10"/>
  <c r="BJ64" i="10"/>
  <c r="H65" i="10" s="1"/>
  <c r="Y65" i="10" s="1"/>
  <c r="BI64" i="10"/>
  <c r="G65" i="10" s="1"/>
  <c r="X65" i="10" s="1"/>
  <c r="BG64" i="10"/>
  <c r="E65" i="10" s="1"/>
  <c r="V65" i="10" s="1"/>
  <c r="AO64" i="10"/>
  <c r="AP64" i="10"/>
  <c r="B30" i="8"/>
  <c r="B65" i="10" l="1"/>
  <c r="BL64" i="10"/>
  <c r="V66" i="10"/>
  <c r="BG65" i="10"/>
  <c r="E66" i="10" s="1"/>
  <c r="U66" i="10"/>
  <c r="BF65" i="10"/>
  <c r="D66" i="10" s="1"/>
  <c r="AQ64" i="10"/>
  <c r="X66" i="10"/>
  <c r="BI65" i="10"/>
  <c r="G66" i="10" s="1"/>
  <c r="Y66" i="10"/>
  <c r="BJ65" i="10"/>
  <c r="H66" i="10" s="1"/>
  <c r="I65" i="10" l="1"/>
  <c r="J65" i="10" s="1"/>
  <c r="K65" i="10" s="1"/>
  <c r="L65" i="10" s="1"/>
  <c r="S65" i="10"/>
  <c r="S66" i="10" l="1"/>
  <c r="Z66" i="10" s="1"/>
  <c r="I67" i="10" s="1"/>
  <c r="Z65" i="10"/>
  <c r="BD65" i="10"/>
  <c r="AT65" i="10" l="1"/>
  <c r="AA65" i="10"/>
  <c r="BK65" i="10"/>
  <c r="BA65" i="10"/>
  <c r="AD65" i="10"/>
  <c r="AZ65" i="10"/>
  <c r="AK65" i="10"/>
  <c r="AW65" i="10"/>
  <c r="AJ65" i="10"/>
  <c r="AM65" i="10"/>
  <c r="AY65" i="10"/>
  <c r="AV65" i="10"/>
  <c r="AN65" i="10"/>
  <c r="AH65" i="10"/>
  <c r="I69" i="10"/>
  <c r="B24" i="8" s="1"/>
  <c r="B22" i="8"/>
  <c r="BL65" i="10"/>
  <c r="B66" i="10"/>
  <c r="I66" i="10" s="1"/>
  <c r="AB65" i="10" l="1"/>
  <c r="AC65" i="10" s="1"/>
  <c r="I68" i="10" s="1"/>
  <c r="B23" i="8" s="1"/>
  <c r="H23" i="8" s="1"/>
  <c r="I74" i="10"/>
  <c r="I73" i="10"/>
  <c r="B21" i="8"/>
  <c r="H22" i="8"/>
  <c r="F22" i="8"/>
  <c r="H24" i="8"/>
  <c r="F24" i="8"/>
  <c r="AP65" i="10"/>
  <c r="AO65" i="10"/>
  <c r="AQ65" i="10" l="1"/>
  <c r="F23" i="8"/>
  <c r="F21" i="8"/>
  <c r="J21" i="8"/>
  <c r="H21" i="8"/>
</calcChain>
</file>

<file path=xl/sharedStrings.xml><?xml version="1.0" encoding="utf-8"?>
<sst xmlns="http://schemas.openxmlformats.org/spreadsheetml/2006/main" count="383" uniqueCount="161">
  <si>
    <t>Withdrawals are made evenly from all funds. The calculation is simply the withdrawal amount divided by the number of funds used. Four funds used  between 1988 and 1998; five funds used starting in 1999; one fund used in 2003 and 2009 to reflect panicking. The formula would need to be adjusted if additional or fewer funds used are used.</t>
  </si>
  <si>
    <t>Allocations are calculated post withdrawals</t>
  </si>
  <si>
    <t>Adjust return and standard deviation calculations to reflect addition of new year</t>
  </si>
  <si>
    <t>Withdrawals are made evenly from all funds. The calculation is simply the withdrawal amount divided by the number of funds used. Four funds used  between 1988 and 1998; five funds used starting in 1999. The formula would need to be adjusted if additional or fewer funds used are used.</t>
  </si>
  <si>
    <t>4. Panic Grid</t>
  </si>
  <si>
    <t>Balance Check</t>
    <phoneticPr fontId="12" type="noConversion"/>
  </si>
  <si>
    <t>Year-end allocations are calculated after withdrawal amounts have been deducted. Rebalance if allocations are five percentage points above or below. VIMSX, NAESX and VGTSX targets only apply after balances are shifted to those funds. Numbers in blue (manually shaded) are signals to rebalance.</t>
  </si>
  <si>
    <t>6. Allocations Test - False Values Signal Rebalancing Needed</t>
  </si>
  <si>
    <t>Used for rebalancing the portfolio. Numbers pull from Table 4 unless rebalancing is necessary. If rebalancing is necessary, allocations are adjusted back to targets for all funds. Rebalanced cells are shaded in blue. Balance check should always equal $0.00</t>
  </si>
  <si>
    <t>6. Panic Grid</t>
  </si>
  <si>
    <t>4% Withdrawals-Panic</t>
  </si>
  <si>
    <t>Shift allocation to all bonds in year following a +20% decline for VFINX (S&amp;P 500). Change back to original allocation after 12 months. Shifts occur after withdrawals have been made from all funds. A conservative estimate of what some investors do during and following bear markets</t>
  </si>
  <si>
    <t>Total Return (Post Withdrawals)</t>
  </si>
  <si>
    <t>Standard Deviation (Post Withdrawals)</t>
  </si>
  <si>
    <t>Annualized Return (Post Withdrawals)</t>
  </si>
  <si>
    <t>End of year performance for non-rebalance portfolio based solely on annual fund performance.  Manually adjust standard deviation for number of periods</t>
  </si>
  <si>
    <t xml:space="preserve">VTRIX (actively-managed) balance changed fully to VGTSX (passively managed) in 1996. </t>
  </si>
  <si>
    <t>VEMX split 67% into VIMSX (mid-cap index) and 33% into NAESX (small-cap index) in 1998.</t>
  </si>
  <si>
    <t>Rebalanced Portfolio</t>
  </si>
  <si>
    <t>4. Allocations Test - False Values Signal Rebalancing Needed</t>
  </si>
  <si>
    <t>A test to see if rebalancing is needed. Allocations above or below targets by more than five percentage points are flagged as being "FALSE." Cells in blue are manually shaded</t>
  </si>
  <si>
    <t>Used for rebalancing the portfolio. Numbers pull from Table 3 unless rebalancing is necessary. If rebalancing is necessary, allocations are adjusted back to targets for all funds. Rebalanced cells are shaded in blue. Balance check should always equal $0.00</t>
  </si>
  <si>
    <t>5. Rebalance Grid</t>
  </si>
  <si>
    <t>Panic Portfolio</t>
  </si>
  <si>
    <t>4% Withdrawals-No Rebalancing</t>
  </si>
  <si>
    <t>1A</t>
  </si>
  <si>
    <t>CPI Data downloaded from Econostats. Most current data is preliminary; all other is end of year</t>
  </si>
  <si>
    <t>3. Withdrawal Amount</t>
  </si>
  <si>
    <t>4% Withdrawals-Rebalancing</t>
  </si>
  <si>
    <t>Withdrawals are made annually, at end of year, but before rebalancing is considered</t>
  </si>
  <si>
    <t>A 4% withdrawal rate is used based on studies of what a safe withdrawal rate is</t>
  </si>
  <si>
    <t>Withdrawals are withdrawn evenly from each fund</t>
  </si>
  <si>
    <t>Initial withdrawal amount increased annually based on CPI</t>
  </si>
  <si>
    <t>General Instructions</t>
  </si>
  <si>
    <t>When a new year of data is added, new rows must be added to all spreadsheets</t>
  </si>
  <si>
    <t>All items shaded in Orange are manually adjusted; all other are based on formulas</t>
  </si>
  <si>
    <t>Rebalancing is done manually; including blue shading of cells</t>
  </si>
  <si>
    <t>Portfolio Strategy</t>
  </si>
  <si>
    <t>Rebalance at 5% Thresholds</t>
  </si>
  <si>
    <t>Total Return</t>
  </si>
  <si>
    <t>Annualized Return</t>
  </si>
  <si>
    <t>Largest Annual Loss</t>
  </si>
  <si>
    <t>Non-Rebalanced Portfolio</t>
  </si>
  <si>
    <t>Final</t>
  </si>
  <si>
    <t>Not Rebalanced</t>
  </si>
  <si>
    <t>CPI</t>
  </si>
  <si>
    <t>Total Withdrawals</t>
  </si>
  <si>
    <t>Return data from Morningstar; available in truncated form in AAII's Mutual Fund Guide</t>
  </si>
  <si>
    <t>CPI  (CPI-U - US city average all urban consumers ) seas adj data used</t>
  </si>
  <si>
    <t>Emerging Stocks (*Merged into International in models because allocation is too small for withdrawals)</t>
  </si>
  <si>
    <t>Return calculations, including standard deviation, need to be manually adjusted each year</t>
  </si>
  <si>
    <t>Largest annual loss and drawdown based on 2008, manually adjust as necessary</t>
  </si>
  <si>
    <t>Year</t>
  </si>
  <si>
    <t>1. Return Data from Morningstar</t>
  </si>
  <si>
    <t>LC Stocks</t>
  </si>
  <si>
    <t>Ext Mkt</t>
  </si>
  <si>
    <t>Mcap Stk</t>
  </si>
  <si>
    <t>Small Cap</t>
  </si>
  <si>
    <t>VFINX</t>
  </si>
  <si>
    <t>VEXMX</t>
  </si>
  <si>
    <t>VIMSX</t>
  </si>
  <si>
    <t>NAESX</t>
  </si>
  <si>
    <t>Small Cap (NAESX) data available from 1988, but not Mid Cap (VIMSX)</t>
  </si>
  <si>
    <t>Extended Market (VEXMX) has both mid &amp; small-cap stocks; rotated out of it when VIMSX available</t>
  </si>
  <si>
    <t>Intl Val</t>
  </si>
  <si>
    <t>VTRIX</t>
  </si>
  <si>
    <t>Tot Int Stk</t>
  </si>
  <si>
    <t>Bonds</t>
  </si>
  <si>
    <t>VGTSX</t>
  </si>
  <si>
    <t>VBMFX</t>
  </si>
  <si>
    <t>Large-Cap Stocks</t>
  </si>
  <si>
    <t>Mid-Cap Stocks</t>
  </si>
  <si>
    <t>Small-Cap Stocks</t>
  </si>
  <si>
    <t>International Stocks</t>
  </si>
  <si>
    <t>Total</t>
  </si>
  <si>
    <t>Stating Balance</t>
  </si>
  <si>
    <t>Fund</t>
  </si>
  <si>
    <t>Annual</t>
  </si>
  <si>
    <t>GEOMean</t>
  </si>
  <si>
    <t>Return</t>
  </si>
  <si>
    <t xml:space="preserve">Gain / </t>
  </si>
  <si>
    <t>Loss</t>
  </si>
  <si>
    <t>Ending Portfolio Value</t>
  </si>
  <si>
    <t>Total Return</t>
    <phoneticPr fontId="0" type="noConversion"/>
  </si>
  <si>
    <t>Standard Deviation</t>
  </si>
  <si>
    <t>Annualized Return</t>
    <phoneticPr fontId="0" type="noConversion"/>
  </si>
  <si>
    <t>Largest Drawdown</t>
  </si>
  <si>
    <t>Largest Annual Loss (2008)</t>
  </si>
  <si>
    <t xml:space="preserve">Balance Check </t>
  </si>
  <si>
    <t>Content in shaded in Orange is manually entered or adjusted</t>
  </si>
  <si>
    <t>Target Allocation</t>
  </si>
  <si>
    <t>Check</t>
  </si>
  <si>
    <t>Balance</t>
  </si>
  <si>
    <t>Table</t>
  </si>
  <si>
    <t>Notes</t>
  </si>
  <si>
    <t>Instructions</t>
  </si>
  <si>
    <t>Annual return information for funds; changes in NAV pulled from AAII Mutual Fund Guide; source of data is Morningstar.</t>
  </si>
  <si>
    <t>Funds Used:</t>
  </si>
  <si>
    <t>Index funds used as much as possible to limit impact of active management</t>
  </si>
  <si>
    <t>1988 first calendar year with full-year data for VEXMX</t>
  </si>
  <si>
    <t>International Value (VTRIX) is an active fund; only used until index alternative became available</t>
  </si>
  <si>
    <t>Total International Stock (VGTSX) has Developed &amp; Emerging Market stocks</t>
  </si>
  <si>
    <t>Emerging market fund (VEIEX)  not used because 5% position is too small to handle withdrawals</t>
  </si>
  <si>
    <t>Allocations based on AAII Moderate Allocation Model (http://www.aaii.com/asset-allocation)</t>
  </si>
  <si>
    <t>Allocations:</t>
  </si>
  <si>
    <t>Rebalancing Rules</t>
  </si>
  <si>
    <t>All holdings rebalanced back to target whenever one fund more than 5 percentage points off target</t>
  </si>
  <si>
    <t>Rebalancing triggers based on Vanguard study: http://www.aaii.com/journal/article/the-advantages-of-diversification-and-rebalancing</t>
  </si>
  <si>
    <t>Withdrawals</t>
  </si>
  <si>
    <t>Ending Equity Allocation</t>
  </si>
  <si>
    <t>Ending Fixed-Income Allocation</t>
  </si>
  <si>
    <t>Allocation Check</t>
  </si>
  <si>
    <t>Rebalance vs Panic</t>
  </si>
  <si>
    <t>No Change vs Panic</t>
  </si>
  <si>
    <t>Rebalance vs Not Rebalancing</t>
  </si>
  <si>
    <t>Equity</t>
  </si>
  <si>
    <t>Allocation</t>
  </si>
  <si>
    <t>Starting</t>
  </si>
  <si>
    <t>Panic and Sell When S&amp;P 500 Falls &gt; 20%</t>
  </si>
  <si>
    <t>Table 1. Performance of the Three Strategies</t>
  </si>
  <si>
    <t>2. Rebalanced Strategy (5% Triggers) - End of Year Balance</t>
  </si>
  <si>
    <t>4. Rebalanced Strategy - Withdrawal Equal Amounts from All Funds</t>
  </si>
  <si>
    <t>5. Rebalanced Strategy - Annual Allocations</t>
  </si>
  <si>
    <t>7. Rebalanced Strategy (5% Triggers) - Rebalance Grid</t>
  </si>
  <si>
    <t>2. Panic Strategy - End of Year Balance</t>
  </si>
  <si>
    <t>4. Panic Strategy - Withdrawal Equal Amounts from All Funds</t>
  </si>
  <si>
    <t>5. Panic Strategy - Annual Allocations</t>
  </si>
  <si>
    <t>2. Non-Rebalanced Strategy - End of Year Balance</t>
  </si>
  <si>
    <t>4. Non-Rebalanced Strategy - Withdrawal Equal Amounts from All Funds</t>
  </si>
  <si>
    <t>3. Panic Strategy - Annual Allocations</t>
  </si>
  <si>
    <t>3. Allocations prior to Rebalancing</t>
  </si>
  <si>
    <t>No Rebalancing</t>
  </si>
  <si>
    <t>Portfolio allocations - per fund dollar amount divided by portfolio's total balance.  Rebalance if allocations are five percentage points above or below. VIMSX, NAESX and VGTSX targets only apply after balances are shifted to those funds. Numbers in blue (manually shaded) are signals to rebalance.</t>
  </si>
  <si>
    <t>Portfolio allocations - per fund dollar amount divided by portfolio's total balance</t>
  </si>
  <si>
    <t>3. Non-Rebalanced Strategy Annual Allocations</t>
  </si>
  <si>
    <t>Annual return information for funds; data pulls from Non-Rebalanced Strategy tab</t>
  </si>
  <si>
    <t>End of year performance calculated as balances from prior year (Table 5) times fund return for current year (Table 1). 1988 end of year balance based solely on annual fund performance (Table 1).  Manually adjust standard deviation for number of periods.</t>
  </si>
  <si>
    <t>Portfolio allocations - per fund dollar amount divided by portfolio's total balance.  Shift allocation to all bonds in year following a +20% decline for VFINX (S&amp;P 500). Change back to original allocation after 12 months. Numbers blue reflect panicking and adjustment back to target allocation.</t>
  </si>
  <si>
    <t>Used for adjusting the portfolio for panicking and shifting back to regular allocation. Numbers pull from Table 2 panic adjustment is necessary. If rebalancing is necessary, allocations are adjusted back to targets for all funds. Rebalanced cells are shaded in blue. Balance check should always equal $0.00</t>
  </si>
  <si>
    <t>End of year performance calculated as balances from prior year (table 4) times fund return for current year (table 1). 1988 end of year balance based solely on annual fund performance. Manually adjust standard deviation for number of periods</t>
  </si>
  <si>
    <t>Post-withdrawal portfolio allocations - per fund dollar amount divided by portfolio's total balance from Table 4.</t>
  </si>
  <si>
    <t xml:space="preserve">Annual balances calculated using end of year post-withdrawal data for previous years times fund returns for current year (Table 4), since all data beyond 1988 factors in withdrawals. 1988 returns are pre-withdrawals. Largest drawdown and worse return calculated before withdrawals to show impact of market on the portfolio. No rebalancing occurs.
</t>
  </si>
  <si>
    <t>Withdrawal amount starts at 4% of year-end 1988 balance. Initial amount is adjusted upwards annually based on change in CPI using data in Table 1A</t>
  </si>
  <si>
    <t>5. Non-Rebalanced Strategy - Annual Allocations</t>
  </si>
  <si>
    <t>CPI Data pulled from 4% Withdrawals - No Rebalancing tab.</t>
  </si>
  <si>
    <t xml:space="preserve">Annual balances calculated using end of year post-withdrawal data for previous years times fund returns for current year (Table 7), since all data beyond 1988 factors in withdrawals and rebalancing. 1988 returns are pre-withdrawals. Returns calculated before any rebalancing adjustments are made for that specific year. Largest drawdown and worse return calculated before withdrawals and rebalancing to show impact of market on the portfolio. </t>
  </si>
  <si>
    <t>Withdrawal amount starts at 4% of year-end 1988 balance. Initial amount is adjusted upwards annually based on change in CPI using data in Table 1A.</t>
  </si>
  <si>
    <t xml:space="preserve">Annual balances calculated using end of year post-withdrawal data for previous years times fund returns for current year (Table 4), since all data beyond 1988 factors in withdrawals. 1988 returns are pre-withdrawals. Returns calculated before any panicking adjustments are made for that specific year. Starting values for 1989 and beyond are from Table 6, and reflect any adjustments for panicking. Largest drawdown and worse return calculated before withdrawals to show impact of market on the portfolio. </t>
  </si>
  <si>
    <t>https://research.stlouisfed.org/fred2/series/CPIAUCSL</t>
  </si>
  <si>
    <t>Panic and Selll When S&amp;P 500 Falls +20%</t>
  </si>
  <si>
    <t>CPI Data from Econostats thru 2013, data from FRED for 2014 forward used</t>
  </si>
  <si>
    <t>1A. CPI Data</t>
  </si>
  <si>
    <t>Non-Withdrawal Portfolio Results (1988 - 2015)</t>
  </si>
  <si>
    <t>Withdrawal Portfolio Results (1988 - 2015)</t>
  </si>
  <si>
    <t>Reduction in Volatility:</t>
  </si>
  <si>
    <t>Difference in Returns:</t>
  </si>
  <si>
    <t>Withdrawal Check</t>
  </si>
  <si>
    <t>Gain/Loss Check</t>
  </si>
  <si>
    <t>Data for 2014 and beyond calculated from Nov CPI report, calculated as year-over-change in November CPI</t>
  </si>
  <si>
    <t>At end of calender year, Nov data would be most current available</t>
  </si>
  <si>
    <t>Investors should use most currently available data and be consistent as possible with source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</si>
</sst>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0_);[Red]\(&quot;$&quot;#,##0\)"/>
    <numFmt numFmtId="8" formatCode="&quot;$&quot;#,##0.00_);[Red]\(&quot;$&quot;#,##0.00\)"/>
    <numFmt numFmtId="164" formatCode="0.0%"/>
  </numFmts>
  <fonts count="14" x14ac:knownFonts="1">
    <font>
      <sz val="11"/>
      <color theme="1"/>
      <name val="Calibri"/>
      <family val="2"/>
      <scheme val="minor"/>
    </font>
    <font>
      <sz val="11"/>
      <color theme="1"/>
      <name val="Calibri"/>
      <family val="2"/>
      <scheme val="minor"/>
    </font>
    <font>
      <sz val="11"/>
      <name val="Calibri"/>
      <family val="2"/>
      <scheme val="minor"/>
    </font>
    <font>
      <sz val="11"/>
      <color theme="7" tint="-0.499984740745262"/>
      <name val="Calibri"/>
      <family val="2"/>
      <scheme val="minor"/>
    </font>
    <font>
      <b/>
      <sz val="11"/>
      <color theme="7" tint="-0.499984740745262"/>
      <name val="Calibri"/>
      <family val="2"/>
      <scheme val="minor"/>
    </font>
    <font>
      <b/>
      <sz val="11"/>
      <color theme="1"/>
      <name val="Calibri"/>
      <family val="2"/>
      <scheme val="minor"/>
    </font>
    <font>
      <b/>
      <sz val="9"/>
      <color indexed="63"/>
      <name val="Arial"/>
      <family val="2"/>
    </font>
    <font>
      <u/>
      <sz val="11"/>
      <color theme="1"/>
      <name val="Calibri"/>
      <family val="2"/>
      <scheme val="minor"/>
    </font>
    <font>
      <sz val="10"/>
      <name val="Arial"/>
      <family val="2"/>
    </font>
    <font>
      <u/>
      <sz val="11"/>
      <color theme="10"/>
      <name val="Calibri"/>
      <family val="2"/>
      <scheme val="minor"/>
    </font>
    <font>
      <b/>
      <u/>
      <sz val="11"/>
      <color theme="1"/>
      <name val="Calibri"/>
      <family val="2"/>
      <scheme val="minor"/>
    </font>
    <font>
      <b/>
      <sz val="11"/>
      <color rgb="FFFF0000"/>
      <name val="Calibri"/>
      <family val="2"/>
      <scheme val="minor"/>
    </font>
    <font>
      <sz val="8"/>
      <name val="Verdana"/>
      <family val="2"/>
    </font>
    <font>
      <b/>
      <sz val="11"/>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indexed="43"/>
        <bgColor indexed="64"/>
      </patternFill>
    </fill>
    <fill>
      <patternFill patternType="solid">
        <fgColor indexed="44"/>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0" fontId="9" fillId="0" borderId="0" applyNumberFormat="0" applyFill="0" applyBorder="0" applyAlignment="0" applyProtection="0"/>
  </cellStyleXfs>
  <cellXfs count="78">
    <xf numFmtId="0" fontId="0" fillId="0" borderId="0" xfId="0"/>
    <xf numFmtId="0" fontId="0" fillId="0" borderId="0" xfId="0" applyFill="1"/>
    <xf numFmtId="6" fontId="0" fillId="0" borderId="0" xfId="0" applyNumberFormat="1"/>
    <xf numFmtId="0" fontId="0" fillId="2" borderId="0" xfId="0" applyFill="1"/>
    <xf numFmtId="0" fontId="2" fillId="2" borderId="0" xfId="0" applyFont="1" applyFill="1" applyAlignment="1">
      <alignment horizontal="center"/>
    </xf>
    <xf numFmtId="0" fontId="0" fillId="2" borderId="0" xfId="0" applyFill="1" applyAlignment="1">
      <alignment horizontal="center"/>
    </xf>
    <xf numFmtId="164" fontId="0" fillId="0" borderId="0" xfId="1" applyNumberFormat="1" applyFont="1"/>
    <xf numFmtId="164" fontId="0" fillId="0" borderId="0" xfId="0" applyNumberFormat="1"/>
    <xf numFmtId="0" fontId="0" fillId="0" borderId="0" xfId="0" applyAlignment="1">
      <alignment wrapText="1"/>
    </xf>
    <xf numFmtId="0" fontId="0" fillId="0" borderId="1" xfId="0" applyFill="1" applyBorder="1"/>
    <xf numFmtId="6" fontId="0" fillId="0" borderId="1" xfId="0" applyNumberFormat="1" applyBorder="1"/>
    <xf numFmtId="0" fontId="0" fillId="0" borderId="0" xfId="0" applyFill="1" applyBorder="1"/>
    <xf numFmtId="164" fontId="0" fillId="0" borderId="0" xfId="1" applyNumberFormat="1" applyFont="1" applyFill="1" applyBorder="1"/>
    <xf numFmtId="164" fontId="2" fillId="3" borderId="0" xfId="1" applyNumberFormat="1" applyFont="1" applyFill="1"/>
    <xf numFmtId="0" fontId="3" fillId="3" borderId="0" xfId="0" applyFont="1" applyFill="1"/>
    <xf numFmtId="2" fontId="3" fillId="3" borderId="0" xfId="0" applyNumberFormat="1" applyFont="1" applyFill="1"/>
    <xf numFmtId="0" fontId="4" fillId="3" borderId="0" xfId="0" applyFont="1" applyFill="1"/>
    <xf numFmtId="0" fontId="3" fillId="4" borderId="0" xfId="0" applyFont="1" applyFill="1"/>
    <xf numFmtId="0" fontId="4" fillId="4" borderId="0" xfId="0" applyFont="1" applyFill="1"/>
    <xf numFmtId="2" fontId="3" fillId="4" borderId="0" xfId="0" applyNumberFormat="1" applyFont="1" applyFill="1"/>
    <xf numFmtId="0" fontId="5" fillId="0" borderId="0" xfId="0" applyFont="1"/>
    <xf numFmtId="0" fontId="0" fillId="0" borderId="0" xfId="0" applyAlignment="1">
      <alignment horizontal="right"/>
    </xf>
    <xf numFmtId="9" fontId="0" fillId="0" borderId="0" xfId="1" applyFont="1"/>
    <xf numFmtId="9" fontId="0" fillId="5" borderId="0" xfId="1" applyFont="1" applyFill="1"/>
    <xf numFmtId="9" fontId="0" fillId="0" borderId="0" xfId="0" applyNumberFormat="1"/>
    <xf numFmtId="9" fontId="0" fillId="4" borderId="0" xfId="0" applyNumberFormat="1" applyFill="1"/>
    <xf numFmtId="6" fontId="0" fillId="0" borderId="0" xfId="0" applyNumberFormat="1" applyAlignment="1">
      <alignment horizontal="right"/>
    </xf>
    <xf numFmtId="6" fontId="0" fillId="6" borderId="0" xfId="0" applyNumberFormat="1" applyFill="1"/>
    <xf numFmtId="0" fontId="0" fillId="6" borderId="0" xfId="0" applyFill="1"/>
    <xf numFmtId="164" fontId="0" fillId="3" borderId="0" xfId="1" applyNumberFormat="1" applyFont="1" applyFill="1" applyBorder="1"/>
    <xf numFmtId="10" fontId="6" fillId="0" borderId="0" xfId="0" applyNumberFormat="1" applyFont="1"/>
    <xf numFmtId="6" fontId="0" fillId="3" borderId="0" xfId="0" applyNumberFormat="1" applyFill="1"/>
    <xf numFmtId="164" fontId="0" fillId="3" borderId="0" xfId="0" applyNumberFormat="1" applyFill="1"/>
    <xf numFmtId="6" fontId="0" fillId="2" borderId="0" xfId="0" applyNumberFormat="1" applyFill="1"/>
    <xf numFmtId="0" fontId="0" fillId="0" borderId="0" xfId="0" applyAlignment="1">
      <alignment horizontal="center"/>
    </xf>
    <xf numFmtId="0" fontId="0" fillId="7" borderId="0" xfId="0" applyFill="1"/>
    <xf numFmtId="9" fontId="0" fillId="7" borderId="0" xfId="0" applyNumberFormat="1" applyFill="1"/>
    <xf numFmtId="0" fontId="7" fillId="0" borderId="0" xfId="0" applyFont="1"/>
    <xf numFmtId="164" fontId="0" fillId="8" borderId="0" xfId="1" applyNumberFormat="1" applyFont="1" applyFill="1"/>
    <xf numFmtId="0" fontId="0" fillId="8" borderId="0" xfId="0" applyFill="1"/>
    <xf numFmtId="6" fontId="0" fillId="8" borderId="0" xfId="0" applyNumberFormat="1" applyFill="1"/>
    <xf numFmtId="0" fontId="0" fillId="0" borderId="0" xfId="0" applyAlignment="1">
      <alignment horizontal="right" wrapText="1"/>
    </xf>
    <xf numFmtId="1" fontId="0" fillId="0" borderId="0" xfId="0" applyNumberFormat="1"/>
    <xf numFmtId="164" fontId="8" fillId="0" borderId="0" xfId="1" applyNumberFormat="1" applyFont="1" applyFill="1" applyBorder="1"/>
    <xf numFmtId="6" fontId="0" fillId="0" borderId="0" xfId="0" applyNumberFormat="1" applyBorder="1"/>
    <xf numFmtId="10" fontId="0" fillId="0" borderId="0" xfId="0" applyNumberFormat="1"/>
    <xf numFmtId="0" fontId="0" fillId="3" borderId="0" xfId="0" applyFill="1"/>
    <xf numFmtId="10" fontId="0" fillId="3" borderId="0" xfId="0" applyNumberFormat="1" applyFill="1"/>
    <xf numFmtId="0" fontId="0" fillId="0" borderId="2" xfId="0" applyBorder="1"/>
    <xf numFmtId="0" fontId="9" fillId="0" borderId="0" xfId="2"/>
    <xf numFmtId="0" fontId="0" fillId="4" borderId="0" xfId="0" applyFill="1"/>
    <xf numFmtId="10" fontId="0" fillId="4" borderId="0" xfId="0" applyNumberFormat="1" applyFill="1"/>
    <xf numFmtId="164" fontId="0" fillId="3" borderId="0" xfId="1" applyNumberFormat="1" applyFont="1" applyFill="1"/>
    <xf numFmtId="6" fontId="0" fillId="3" borderId="1" xfId="0" applyNumberFormat="1" applyFill="1" applyBorder="1"/>
    <xf numFmtId="0" fontId="10" fillId="0" borderId="0" xfId="0" applyFont="1"/>
    <xf numFmtId="0" fontId="7" fillId="0" borderId="0" xfId="0" applyFont="1" applyBorder="1"/>
    <xf numFmtId="0" fontId="7" fillId="0" borderId="0" xfId="0" applyFont="1" applyAlignment="1">
      <alignment horizontal="left"/>
    </xf>
    <xf numFmtId="9" fontId="0" fillId="4" borderId="0" xfId="1" applyFont="1" applyFill="1"/>
    <xf numFmtId="0" fontId="11" fillId="0" borderId="0" xfId="0" applyFont="1"/>
    <xf numFmtId="164" fontId="0" fillId="2" borderId="0" xfId="1" applyNumberFormat="1" applyFont="1" applyFill="1"/>
    <xf numFmtId="6" fontId="0" fillId="9" borderId="0" xfId="0" applyNumberFormat="1" applyFill="1"/>
    <xf numFmtId="0" fontId="0" fillId="9" borderId="0" xfId="0" applyFill="1"/>
    <xf numFmtId="164" fontId="0" fillId="0" borderId="0" xfId="1" applyNumberFormat="1" applyFont="1" applyFill="1"/>
    <xf numFmtId="164" fontId="0" fillId="0" borderId="0" xfId="0" applyNumberFormat="1" applyFill="1"/>
    <xf numFmtId="164" fontId="0" fillId="10" borderId="0" xfId="0" applyNumberFormat="1" applyFill="1"/>
    <xf numFmtId="0" fontId="0" fillId="7" borderId="0" xfId="0" applyFill="1" applyAlignment="1">
      <alignment horizontal="center"/>
    </xf>
    <xf numFmtId="6" fontId="0" fillId="0" borderId="0" xfId="0" applyNumberFormat="1" applyFill="1"/>
    <xf numFmtId="6" fontId="0" fillId="0" borderId="0" xfId="0" applyNumberFormat="1" applyAlignment="1">
      <alignment wrapText="1"/>
    </xf>
    <xf numFmtId="0" fontId="13" fillId="0" borderId="0" xfId="0" applyFont="1"/>
    <xf numFmtId="164" fontId="0" fillId="2" borderId="0" xfId="0" applyNumberFormat="1" applyFill="1"/>
    <xf numFmtId="6" fontId="0" fillId="0" borderId="1" xfId="0" applyNumberFormat="1" applyFont="1" applyBorder="1"/>
    <xf numFmtId="6" fontId="0" fillId="0" borderId="0" xfId="0" applyNumberFormat="1" applyFont="1"/>
    <xf numFmtId="6" fontId="0" fillId="0" borderId="0" xfId="0" applyNumberFormat="1" applyFont="1" applyBorder="1"/>
    <xf numFmtId="164" fontId="2" fillId="0" borderId="0" xfId="1" applyNumberFormat="1" applyFont="1" applyFill="1" applyBorder="1"/>
    <xf numFmtId="0" fontId="5" fillId="3" borderId="0" xfId="0" applyFont="1" applyFill="1"/>
    <xf numFmtId="0" fontId="0" fillId="0" borderId="0" xfId="0" applyFill="1" applyAlignment="1">
      <alignment horizontal="center"/>
    </xf>
    <xf numFmtId="0" fontId="0" fillId="8" borderId="0" xfId="0" applyFill="1" applyAlignment="1">
      <alignment horizontal="right" wrapText="1"/>
    </xf>
    <xf numFmtId="8" fontId="0" fillId="0" borderId="0" xfId="0" applyNumberFormat="1"/>
  </cellXfs>
  <cellStyles count="3">
    <cellStyle name="Hyperlink" xfId="2" builtinId="8"/>
    <cellStyle name="Normal" xfId="0" builtinId="0"/>
    <cellStyle name="Percent" xfId="1" builtinId="5"/>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0.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chartsheet" Target="chartsheets/sheet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Staying</a:t>
            </a:r>
            <a:r>
              <a:rPr lang="en-US" baseline="0"/>
              <a:t> Invested versus Panicking</a:t>
            </a:r>
            <a:endParaRPr lang="en-US"/>
          </a:p>
        </c:rich>
      </c:tx>
      <c:overlay val="0"/>
    </c:title>
    <c:autoTitleDeleted val="0"/>
    <c:plotArea>
      <c:layout/>
      <c:lineChart>
        <c:grouping val="standard"/>
        <c:varyColors val="0"/>
        <c:ser>
          <c:idx val="0"/>
          <c:order val="0"/>
          <c:tx>
            <c:strRef>
              <c:f>'Chart Data'!$B$1</c:f>
              <c:strCache>
                <c:ptCount val="1"/>
                <c:pt idx="0">
                  <c:v>Rebalance at 5% Thresholds</c:v>
                </c:pt>
              </c:strCache>
            </c:strRef>
          </c:tx>
          <c:marker>
            <c:symbol val="none"/>
          </c:marker>
          <c:cat>
            <c:strRef>
              <c:f>'Chart Data'!$A$2:$A$30</c:f>
              <c:strCache>
                <c:ptCount val="29"/>
                <c:pt idx="0">
                  <c:v>Starting</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strCache>
            </c:strRef>
          </c:cat>
          <c:val>
            <c:numRef>
              <c:f>'Chart Data'!$B$2:$B$30</c:f>
              <c:numCache>
                <c:formatCode>"$"#,##0_);[Red]\("$"#,##0\)</c:formatCode>
                <c:ptCount val="29"/>
                <c:pt idx="0">
                  <c:v>100000</c:v>
                </c:pt>
                <c:pt idx="1">
                  <c:v>115128.7</c:v>
                </c:pt>
                <c:pt idx="2">
                  <c:v>141636.61841199998</c:v>
                </c:pt>
                <c:pt idx="3">
                  <c:v>133858.4800690712</c:v>
                </c:pt>
                <c:pt idx="4">
                  <c:v>167493.8429463341</c:v>
                </c:pt>
                <c:pt idx="5">
                  <c:v>177876.37719922079</c:v>
                </c:pt>
                <c:pt idx="6">
                  <c:v>205140.91254356297</c:v>
                </c:pt>
                <c:pt idx="7">
                  <c:v>205407.20212502213</c:v>
                </c:pt>
                <c:pt idx="8">
                  <c:v>255575.4230099502</c:v>
                </c:pt>
                <c:pt idx="9">
                  <c:v>290071.07592603128</c:v>
                </c:pt>
                <c:pt idx="10">
                  <c:v>340314.57705825509</c:v>
                </c:pt>
                <c:pt idx="11">
                  <c:v>388821.71645159763</c:v>
                </c:pt>
                <c:pt idx="12">
                  <c:v>448463.41392478434</c:v>
                </c:pt>
                <c:pt idx="13">
                  <c:v>452391.37206729566</c:v>
                </c:pt>
                <c:pt idx="14">
                  <c:v>436687.46936616325</c:v>
                </c:pt>
                <c:pt idx="15">
                  <c:v>396289.33387024264</c:v>
                </c:pt>
                <c:pt idx="16">
                  <c:v>500712.36592371936</c:v>
                </c:pt>
                <c:pt idx="17">
                  <c:v>569048.08748789085</c:v>
                </c:pt>
                <c:pt idx="18">
                  <c:v>618148.79505889327</c:v>
                </c:pt>
                <c:pt idx="19">
                  <c:v>709180.96420079516</c:v>
                </c:pt>
                <c:pt idx="20">
                  <c:v>762924.11602985975</c:v>
                </c:pt>
                <c:pt idx="21">
                  <c:v>558044.21354910964</c:v>
                </c:pt>
                <c:pt idx="22">
                  <c:v>703569.86747001938</c:v>
                </c:pt>
                <c:pt idx="23">
                  <c:v>813873.13002741348</c:v>
                </c:pt>
                <c:pt idx="24">
                  <c:v>806125.05782955256</c:v>
                </c:pt>
                <c:pt idx="25">
                  <c:v>907694.47116146167</c:v>
                </c:pt>
                <c:pt idx="26">
                  <c:v>1087802.6409055442</c:v>
                </c:pt>
                <c:pt idx="27">
                  <c:v>1164373.0687988854</c:v>
                </c:pt>
                <c:pt idx="28">
                  <c:v>1151367.8008134337</c:v>
                </c:pt>
              </c:numCache>
            </c:numRef>
          </c:val>
          <c:smooth val="0"/>
        </c:ser>
        <c:ser>
          <c:idx val="1"/>
          <c:order val="1"/>
          <c:tx>
            <c:strRef>
              <c:f>'Chart Data'!$C$1</c:f>
              <c:strCache>
                <c:ptCount val="1"/>
                <c:pt idx="0">
                  <c:v>No Rebalancing</c:v>
                </c:pt>
              </c:strCache>
            </c:strRef>
          </c:tx>
          <c:marker>
            <c:symbol val="none"/>
          </c:marker>
          <c:cat>
            <c:strRef>
              <c:f>'Chart Data'!$A$2:$A$30</c:f>
              <c:strCache>
                <c:ptCount val="29"/>
                <c:pt idx="0">
                  <c:v>Starting</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strCache>
            </c:strRef>
          </c:cat>
          <c:val>
            <c:numRef>
              <c:f>'Chart Data'!$C$2:$C$30</c:f>
              <c:numCache>
                <c:formatCode>"$"#,##0_);[Red]\("$"#,##0\)</c:formatCode>
                <c:ptCount val="29"/>
                <c:pt idx="0">
                  <c:v>100000</c:v>
                </c:pt>
                <c:pt idx="1">
                  <c:v>115128.7</c:v>
                </c:pt>
                <c:pt idx="2">
                  <c:v>141636.61841199998</c:v>
                </c:pt>
                <c:pt idx="3">
                  <c:v>133858.4800690712</c:v>
                </c:pt>
                <c:pt idx="4">
                  <c:v>167493.8429463341</c:v>
                </c:pt>
                <c:pt idx="5">
                  <c:v>177876.37719922079</c:v>
                </c:pt>
                <c:pt idx="6">
                  <c:v>203606.98989378076</c:v>
                </c:pt>
                <c:pt idx="7">
                  <c:v>203282.46836661967</c:v>
                </c:pt>
                <c:pt idx="8">
                  <c:v>256734.97510949662</c:v>
                </c:pt>
                <c:pt idx="9">
                  <c:v>293680.90142641502</c:v>
                </c:pt>
                <c:pt idx="10">
                  <c:v>354018.63151480729</c:v>
                </c:pt>
                <c:pt idx="11">
                  <c:v>407869.43346063432</c:v>
                </c:pt>
                <c:pt idx="12">
                  <c:v>476889.25990775815</c:v>
                </c:pt>
                <c:pt idx="13">
                  <c:v>479918.64024926448</c:v>
                </c:pt>
                <c:pt idx="14">
                  <c:v>459497.33354131912</c:v>
                </c:pt>
                <c:pt idx="15">
                  <c:v>400077.87901412754</c:v>
                </c:pt>
                <c:pt idx="16">
                  <c:v>509041.89040780923</c:v>
                </c:pt>
                <c:pt idx="17">
                  <c:v>583624.55608503462</c:v>
                </c:pt>
                <c:pt idx="18">
                  <c:v>634981.96094858414</c:v>
                </c:pt>
                <c:pt idx="19">
                  <c:v>725533.29720736458</c:v>
                </c:pt>
                <c:pt idx="20">
                  <c:v>772841.85934956674</c:v>
                </c:pt>
                <c:pt idx="21">
                  <c:v>519417.57448855188</c:v>
                </c:pt>
                <c:pt idx="22">
                  <c:v>663607.61261138797</c:v>
                </c:pt>
                <c:pt idx="23">
                  <c:v>781690.58032183314</c:v>
                </c:pt>
                <c:pt idx="24">
                  <c:v>773893.83825346944</c:v>
                </c:pt>
                <c:pt idx="25">
                  <c:v>882267.90325588686</c:v>
                </c:pt>
                <c:pt idx="26">
                  <c:v>1110307.8402303576</c:v>
                </c:pt>
                <c:pt idx="27">
                  <c:v>1218210.5505260366</c:v>
                </c:pt>
                <c:pt idx="28">
                  <c:v>1203796.3975470606</c:v>
                </c:pt>
              </c:numCache>
            </c:numRef>
          </c:val>
          <c:smooth val="0"/>
        </c:ser>
        <c:ser>
          <c:idx val="2"/>
          <c:order val="2"/>
          <c:tx>
            <c:strRef>
              <c:f>'Chart Data'!$D$1</c:f>
              <c:strCache>
                <c:ptCount val="1"/>
                <c:pt idx="0">
                  <c:v>Panic and Sell When S&amp;P 500 Falls &gt; 20%</c:v>
                </c:pt>
              </c:strCache>
            </c:strRef>
          </c:tx>
          <c:marker>
            <c:symbol val="none"/>
          </c:marker>
          <c:cat>
            <c:strRef>
              <c:f>'Chart Data'!$A$2:$A$30</c:f>
              <c:strCache>
                <c:ptCount val="29"/>
                <c:pt idx="0">
                  <c:v>Starting</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strCache>
            </c:strRef>
          </c:cat>
          <c:val>
            <c:numRef>
              <c:f>'Chart Data'!$D$2:$D$30</c:f>
              <c:numCache>
                <c:formatCode>"$"#,##0_);[Red]\("$"#,##0\)</c:formatCode>
                <c:ptCount val="29"/>
                <c:pt idx="0">
                  <c:v>100000</c:v>
                </c:pt>
                <c:pt idx="1">
                  <c:v>115128.7</c:v>
                </c:pt>
                <c:pt idx="2">
                  <c:v>141636.61841199998</c:v>
                </c:pt>
                <c:pt idx="3">
                  <c:v>133858.4800690712</c:v>
                </c:pt>
                <c:pt idx="4">
                  <c:v>167493.8429463341</c:v>
                </c:pt>
                <c:pt idx="5">
                  <c:v>177876.37719922079</c:v>
                </c:pt>
                <c:pt idx="6">
                  <c:v>203606.98989378076</c:v>
                </c:pt>
                <c:pt idx="7">
                  <c:v>203282.46836661967</c:v>
                </c:pt>
                <c:pt idx="8">
                  <c:v>256734.97510949662</c:v>
                </c:pt>
                <c:pt idx="9">
                  <c:v>293680.90142641502</c:v>
                </c:pt>
                <c:pt idx="10">
                  <c:v>349994.43115181063</c:v>
                </c:pt>
                <c:pt idx="11">
                  <c:v>403217.3371149993</c:v>
                </c:pt>
                <c:pt idx="12">
                  <c:v>457342.91920006735</c:v>
                </c:pt>
                <c:pt idx="13">
                  <c:v>459838.57914978766</c:v>
                </c:pt>
                <c:pt idx="14">
                  <c:v>440356.85436330229</c:v>
                </c:pt>
                <c:pt idx="15">
                  <c:v>384005.6214241616</c:v>
                </c:pt>
                <c:pt idx="16">
                  <c:v>399250.64459470083</c:v>
                </c:pt>
                <c:pt idx="17">
                  <c:v>453739.1748170518</c:v>
                </c:pt>
                <c:pt idx="18">
                  <c:v>492890.37315347383</c:v>
                </c:pt>
                <c:pt idx="19">
                  <c:v>565476.26214327163</c:v>
                </c:pt>
                <c:pt idx="20">
                  <c:v>610571.2516549537</c:v>
                </c:pt>
                <c:pt idx="21">
                  <c:v>427186.67721459788</c:v>
                </c:pt>
                <c:pt idx="22">
                  <c:v>452518.84717342351</c:v>
                </c:pt>
                <c:pt idx="23">
                  <c:v>520378.57349555008</c:v>
                </c:pt>
                <c:pt idx="24">
                  <c:v>514692.58096193353</c:v>
                </c:pt>
                <c:pt idx="25">
                  <c:v>581045.54071168299</c:v>
                </c:pt>
                <c:pt idx="26">
                  <c:v>702179.02161490882</c:v>
                </c:pt>
                <c:pt idx="27">
                  <c:v>758620.68050951278</c:v>
                </c:pt>
                <c:pt idx="28">
                  <c:v>749952.98776025954</c:v>
                </c:pt>
              </c:numCache>
            </c:numRef>
          </c:val>
          <c:smooth val="0"/>
        </c:ser>
        <c:dLbls>
          <c:showLegendKey val="0"/>
          <c:showVal val="0"/>
          <c:showCatName val="0"/>
          <c:showSerName val="0"/>
          <c:showPercent val="0"/>
          <c:showBubbleSize val="0"/>
        </c:dLbls>
        <c:smooth val="0"/>
        <c:axId val="125492616"/>
        <c:axId val="130424320"/>
      </c:lineChart>
      <c:catAx>
        <c:axId val="125492616"/>
        <c:scaling>
          <c:orientation val="minMax"/>
        </c:scaling>
        <c:delete val="0"/>
        <c:axPos val="b"/>
        <c:numFmt formatCode="General" sourceLinked="0"/>
        <c:majorTickMark val="out"/>
        <c:minorTickMark val="none"/>
        <c:tickLblPos val="nextTo"/>
        <c:crossAx val="130424320"/>
        <c:crosses val="autoZero"/>
        <c:auto val="1"/>
        <c:lblAlgn val="ctr"/>
        <c:lblOffset val="100"/>
        <c:noMultiLvlLbl val="0"/>
      </c:catAx>
      <c:valAx>
        <c:axId val="130424320"/>
        <c:scaling>
          <c:orientation val="minMax"/>
          <c:min val="100000"/>
        </c:scaling>
        <c:delete val="0"/>
        <c:axPos val="l"/>
        <c:majorGridlines/>
        <c:numFmt formatCode="&quot;$&quot;#,##0_);[Red]\(&quot;$&quot;#,##0\)" sourceLinked="1"/>
        <c:majorTickMark val="out"/>
        <c:minorTickMark val="none"/>
        <c:tickLblPos val="nextTo"/>
        <c:crossAx val="125492616"/>
        <c:crosses val="autoZero"/>
        <c:crossBetween val="between"/>
        <c:majorUnit val="100000"/>
      </c:valAx>
    </c:plotArea>
    <c:legend>
      <c:legendPos val="b"/>
      <c:overlay val="0"/>
    </c:legend>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strRef>
              <c:f>'Panic Chart'!$A$2:$A$3</c:f>
              <c:strCache>
                <c:ptCount val="2"/>
                <c:pt idx="0">
                  <c:v>Rebalance at 5% Thresholds</c:v>
                </c:pt>
                <c:pt idx="1">
                  <c:v>Panic and Selll When S&amp;P 500 Falls +20%</c:v>
                </c:pt>
              </c:strCache>
            </c:strRef>
          </c:cat>
          <c:val>
            <c:numRef>
              <c:f>'Panic Chart'!$B$2:$B$3</c:f>
              <c:numCache>
                <c:formatCode>"$"#,##0_);[Red]\("$"#,##0\)</c:formatCode>
                <c:ptCount val="2"/>
                <c:pt idx="0">
                  <c:v>1151367.8008134337</c:v>
                </c:pt>
                <c:pt idx="1">
                  <c:v>749952.98776025954</c:v>
                </c:pt>
              </c:numCache>
            </c:numRef>
          </c:val>
        </c:ser>
        <c:dLbls>
          <c:showLegendKey val="0"/>
          <c:showVal val="0"/>
          <c:showCatName val="0"/>
          <c:showSerName val="0"/>
          <c:showPercent val="0"/>
          <c:showBubbleSize val="0"/>
        </c:dLbls>
        <c:gapWidth val="219"/>
        <c:overlap val="-27"/>
        <c:axId val="129553960"/>
        <c:axId val="128412200"/>
      </c:barChart>
      <c:catAx>
        <c:axId val="129553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8412200"/>
        <c:crosses val="autoZero"/>
        <c:auto val="1"/>
        <c:lblAlgn val="ctr"/>
        <c:lblOffset val="100"/>
        <c:noMultiLvlLbl val="0"/>
      </c:catAx>
      <c:valAx>
        <c:axId val="128412200"/>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553960"/>
        <c:crosses val="autoZero"/>
        <c:crossBetween val="between"/>
        <c:majorUnit val="10000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105"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8672286" cy="6295571"/>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0</xdr:col>
      <xdr:colOff>57150</xdr:colOff>
      <xdr:row>3</xdr:row>
      <xdr:rowOff>152400</xdr:rowOff>
    </xdr:from>
    <xdr:to>
      <xdr:col>4</xdr:col>
      <xdr:colOff>209550</xdr:colOff>
      <xdr:row>18</xdr:row>
      <xdr:rowOff>38100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hyperlink" Target="https://research.stlouisfed.org/fred2/series/CPIAUCS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0"/>
  <sheetViews>
    <sheetView tabSelected="1" topLeftCell="A28" workbookViewId="0">
      <selection activeCell="A41" sqref="A41"/>
    </sheetView>
  </sheetViews>
  <sheetFormatPr defaultColWidth="8.88671875" defaultRowHeight="14.4" x14ac:dyDescent="0.3"/>
  <cols>
    <col min="2" max="2" width="84.109375" style="8" customWidth="1"/>
    <col min="4" max="4" width="60.5546875" customWidth="1"/>
  </cols>
  <sheetData>
    <row r="1" spans="1:4" x14ac:dyDescent="0.3">
      <c r="A1" s="20" t="s">
        <v>95</v>
      </c>
    </row>
    <row r="3" spans="1:4" x14ac:dyDescent="0.3">
      <c r="A3" s="54" t="s">
        <v>33</v>
      </c>
    </row>
    <row r="4" spans="1:4" x14ac:dyDescent="0.3">
      <c r="A4" t="s">
        <v>34</v>
      </c>
    </row>
    <row r="5" spans="1:4" x14ac:dyDescent="0.3">
      <c r="A5" t="s">
        <v>2</v>
      </c>
    </row>
    <row r="6" spans="1:4" x14ac:dyDescent="0.3">
      <c r="A6" t="s">
        <v>35</v>
      </c>
    </row>
    <row r="7" spans="1:4" x14ac:dyDescent="0.3">
      <c r="A7" t="s">
        <v>36</v>
      </c>
    </row>
    <row r="8" spans="1:4" x14ac:dyDescent="0.3">
      <c r="A8" t="s">
        <v>50</v>
      </c>
    </row>
    <row r="9" spans="1:4" x14ac:dyDescent="0.3">
      <c r="A9" t="s">
        <v>51</v>
      </c>
    </row>
    <row r="10" spans="1:4" x14ac:dyDescent="0.3">
      <c r="A10" t="s">
        <v>16</v>
      </c>
    </row>
    <row r="11" spans="1:4" x14ac:dyDescent="0.3">
      <c r="A11" t="s">
        <v>17</v>
      </c>
    </row>
    <row r="14" spans="1:4" x14ac:dyDescent="0.3">
      <c r="A14" s="55" t="s">
        <v>42</v>
      </c>
    </row>
    <row r="15" spans="1:4" x14ac:dyDescent="0.3">
      <c r="A15" s="34" t="s">
        <v>93</v>
      </c>
    </row>
    <row r="16" spans="1:4" ht="28.8" x14ac:dyDescent="0.3">
      <c r="A16" s="34">
        <v>1</v>
      </c>
      <c r="B16" s="8" t="s">
        <v>96</v>
      </c>
      <c r="C16" s="34"/>
      <c r="D16" s="8"/>
    </row>
    <row r="17" spans="1:4" ht="28.8" x14ac:dyDescent="0.3">
      <c r="A17" s="34">
        <v>2</v>
      </c>
      <c r="B17" s="8" t="s">
        <v>15</v>
      </c>
      <c r="C17" s="34"/>
      <c r="D17" s="8"/>
    </row>
    <row r="18" spans="1:4" x14ac:dyDescent="0.3">
      <c r="A18" s="34">
        <v>3</v>
      </c>
      <c r="B18" s="8" t="s">
        <v>133</v>
      </c>
      <c r="C18" s="34"/>
      <c r="D18" s="8"/>
    </row>
    <row r="19" spans="1:4" x14ac:dyDescent="0.3">
      <c r="A19" s="34"/>
    </row>
    <row r="20" spans="1:4" x14ac:dyDescent="0.3">
      <c r="A20" s="34"/>
    </row>
    <row r="21" spans="1:4" x14ac:dyDescent="0.3">
      <c r="A21" s="56" t="s">
        <v>18</v>
      </c>
    </row>
    <row r="22" spans="1:4" x14ac:dyDescent="0.3">
      <c r="A22" s="34" t="s">
        <v>93</v>
      </c>
    </row>
    <row r="23" spans="1:4" x14ac:dyDescent="0.3">
      <c r="A23" s="34">
        <v>1</v>
      </c>
      <c r="B23" s="8" t="s">
        <v>135</v>
      </c>
      <c r="C23" s="34"/>
      <c r="D23" s="8"/>
    </row>
    <row r="24" spans="1:4" ht="43.2" x14ac:dyDescent="0.3">
      <c r="A24" s="34">
        <v>2</v>
      </c>
      <c r="B24" s="8" t="s">
        <v>136</v>
      </c>
      <c r="C24" s="34"/>
      <c r="D24" s="8"/>
    </row>
    <row r="25" spans="1:4" ht="57.6" x14ac:dyDescent="0.3">
      <c r="A25" s="34">
        <v>3</v>
      </c>
      <c r="B25" s="8" t="s">
        <v>132</v>
      </c>
      <c r="C25" s="34"/>
      <c r="D25" s="8"/>
    </row>
    <row r="26" spans="1:4" ht="28.8" x14ac:dyDescent="0.3">
      <c r="A26" s="34">
        <v>4</v>
      </c>
      <c r="B26" s="8" t="s">
        <v>20</v>
      </c>
      <c r="C26" s="34"/>
      <c r="D26" s="8"/>
    </row>
    <row r="27" spans="1:4" ht="43.2" x14ac:dyDescent="0.3">
      <c r="A27" s="34">
        <v>5</v>
      </c>
      <c r="B27" s="8" t="s">
        <v>21</v>
      </c>
      <c r="C27" s="34"/>
      <c r="D27" s="8"/>
    </row>
    <row r="28" spans="1:4" x14ac:dyDescent="0.3">
      <c r="A28" s="34"/>
    </row>
    <row r="29" spans="1:4" x14ac:dyDescent="0.3">
      <c r="A29" s="34"/>
    </row>
    <row r="30" spans="1:4" x14ac:dyDescent="0.3">
      <c r="A30" s="34"/>
    </row>
    <row r="31" spans="1:4" x14ac:dyDescent="0.3">
      <c r="A31" s="56" t="s">
        <v>23</v>
      </c>
    </row>
    <row r="32" spans="1:4" x14ac:dyDescent="0.3">
      <c r="A32" s="34" t="s">
        <v>93</v>
      </c>
    </row>
    <row r="33" spans="1:4" x14ac:dyDescent="0.3">
      <c r="A33" s="34">
        <v>1</v>
      </c>
      <c r="B33" s="8" t="s">
        <v>135</v>
      </c>
      <c r="C33" s="34"/>
      <c r="D33" s="8"/>
    </row>
    <row r="34" spans="1:4" ht="43.2" x14ac:dyDescent="0.3">
      <c r="A34" s="34">
        <v>2</v>
      </c>
      <c r="B34" s="8" t="s">
        <v>139</v>
      </c>
      <c r="C34" s="34"/>
      <c r="D34" s="8"/>
    </row>
    <row r="35" spans="1:4" ht="43.2" x14ac:dyDescent="0.3">
      <c r="A35" s="34">
        <v>3</v>
      </c>
      <c r="B35" s="8" t="s">
        <v>137</v>
      </c>
      <c r="C35" s="34"/>
      <c r="D35" s="8"/>
    </row>
    <row r="36" spans="1:4" ht="57.6" x14ac:dyDescent="0.3">
      <c r="A36" s="34">
        <v>4</v>
      </c>
      <c r="B36" s="8" t="s">
        <v>138</v>
      </c>
      <c r="C36" s="34"/>
      <c r="D36" s="8"/>
    </row>
    <row r="37" spans="1:4" x14ac:dyDescent="0.3">
      <c r="A37" s="34"/>
    </row>
    <row r="38" spans="1:4" x14ac:dyDescent="0.3">
      <c r="A38" s="34"/>
    </row>
    <row r="39" spans="1:4" x14ac:dyDescent="0.3">
      <c r="A39" s="56" t="s">
        <v>24</v>
      </c>
    </row>
    <row r="40" spans="1:4" x14ac:dyDescent="0.3">
      <c r="A40" s="34" t="s">
        <v>93</v>
      </c>
    </row>
    <row r="41" spans="1:4" x14ac:dyDescent="0.3">
      <c r="A41" s="34">
        <v>1</v>
      </c>
      <c r="B41" s="8" t="s">
        <v>135</v>
      </c>
      <c r="C41" s="34"/>
      <c r="D41" s="8"/>
    </row>
    <row r="42" spans="1:4" x14ac:dyDescent="0.3">
      <c r="A42" s="34" t="s">
        <v>25</v>
      </c>
      <c r="B42" s="8" t="s">
        <v>26</v>
      </c>
      <c r="C42" s="34"/>
      <c r="D42" s="8"/>
    </row>
    <row r="43" spans="1:4" ht="72" x14ac:dyDescent="0.3">
      <c r="A43" s="34">
        <v>2</v>
      </c>
      <c r="B43" s="8" t="s">
        <v>141</v>
      </c>
      <c r="C43" s="34"/>
      <c r="D43" s="8"/>
    </row>
    <row r="44" spans="1:4" ht="28.8" x14ac:dyDescent="0.3">
      <c r="A44" s="34">
        <v>3</v>
      </c>
      <c r="B44" s="8" t="s">
        <v>142</v>
      </c>
      <c r="C44" s="34"/>
      <c r="D44" s="8"/>
    </row>
    <row r="45" spans="1:4" ht="43.2" x14ac:dyDescent="0.3">
      <c r="A45" s="34">
        <v>4</v>
      </c>
      <c r="B45" s="8" t="s">
        <v>3</v>
      </c>
      <c r="C45" s="34"/>
      <c r="D45" s="8"/>
    </row>
    <row r="46" spans="1:4" ht="28.8" x14ac:dyDescent="0.3">
      <c r="A46" s="34">
        <v>5</v>
      </c>
      <c r="B46" s="8" t="s">
        <v>140</v>
      </c>
      <c r="C46" s="34"/>
      <c r="D46" s="8"/>
    </row>
    <row r="47" spans="1:4" x14ac:dyDescent="0.3">
      <c r="A47" s="34"/>
    </row>
    <row r="48" spans="1:4" x14ac:dyDescent="0.3">
      <c r="A48" s="34"/>
    </row>
    <row r="49" spans="1:4" x14ac:dyDescent="0.3">
      <c r="A49" s="56" t="s">
        <v>28</v>
      </c>
    </row>
    <row r="50" spans="1:4" x14ac:dyDescent="0.3">
      <c r="A50" s="34" t="s">
        <v>93</v>
      </c>
    </row>
    <row r="51" spans="1:4" x14ac:dyDescent="0.3">
      <c r="A51" s="34">
        <v>1</v>
      </c>
      <c r="B51" s="8" t="s">
        <v>135</v>
      </c>
      <c r="C51" s="34"/>
      <c r="D51" s="8"/>
    </row>
    <row r="52" spans="1:4" x14ac:dyDescent="0.3">
      <c r="A52" s="34" t="s">
        <v>25</v>
      </c>
      <c r="B52" s="8" t="s">
        <v>144</v>
      </c>
      <c r="C52" s="34"/>
      <c r="D52" s="8"/>
    </row>
    <row r="53" spans="1:4" ht="72" x14ac:dyDescent="0.3">
      <c r="A53" s="34">
        <v>2</v>
      </c>
      <c r="B53" s="8" t="s">
        <v>145</v>
      </c>
      <c r="C53" s="34"/>
      <c r="D53" s="8"/>
    </row>
    <row r="54" spans="1:4" ht="28.8" x14ac:dyDescent="0.3">
      <c r="A54" s="34">
        <v>3</v>
      </c>
      <c r="B54" s="8" t="s">
        <v>146</v>
      </c>
      <c r="C54" s="34"/>
      <c r="D54" s="8"/>
    </row>
    <row r="55" spans="1:4" ht="43.2" x14ac:dyDescent="0.3">
      <c r="A55" s="34">
        <v>4</v>
      </c>
      <c r="B55" s="8" t="s">
        <v>3</v>
      </c>
      <c r="C55" s="34"/>
      <c r="D55" s="8"/>
    </row>
    <row r="56" spans="1:4" ht="57.6" x14ac:dyDescent="0.3">
      <c r="A56" s="34">
        <v>5</v>
      </c>
      <c r="B56" s="8" t="s">
        <v>6</v>
      </c>
      <c r="C56" s="34"/>
      <c r="D56" s="8"/>
    </row>
    <row r="57" spans="1:4" ht="28.8" x14ac:dyDescent="0.3">
      <c r="A57" s="34">
        <v>6</v>
      </c>
      <c r="B57" s="8" t="s">
        <v>20</v>
      </c>
      <c r="C57" s="34"/>
      <c r="D57" s="8"/>
    </row>
    <row r="58" spans="1:4" ht="43.2" x14ac:dyDescent="0.3">
      <c r="A58" s="34">
        <v>7</v>
      </c>
      <c r="B58" s="8" t="s">
        <v>8</v>
      </c>
      <c r="C58" s="34"/>
      <c r="D58" s="8"/>
    </row>
    <row r="61" spans="1:4" x14ac:dyDescent="0.3">
      <c r="A61" s="37" t="s">
        <v>10</v>
      </c>
    </row>
    <row r="62" spans="1:4" x14ac:dyDescent="0.3">
      <c r="A62" s="34" t="s">
        <v>93</v>
      </c>
    </row>
    <row r="63" spans="1:4" x14ac:dyDescent="0.3">
      <c r="A63" s="34">
        <v>1</v>
      </c>
      <c r="B63" s="8" t="s">
        <v>135</v>
      </c>
      <c r="C63" s="34"/>
      <c r="D63" s="8"/>
    </row>
    <row r="64" spans="1:4" x14ac:dyDescent="0.3">
      <c r="A64" s="34" t="s">
        <v>25</v>
      </c>
      <c r="B64" s="8" t="s">
        <v>144</v>
      </c>
      <c r="C64" s="34"/>
      <c r="D64" s="8"/>
    </row>
    <row r="65" spans="1:4" ht="86.4" x14ac:dyDescent="0.3">
      <c r="A65" s="34">
        <v>2</v>
      </c>
      <c r="B65" s="8" t="s">
        <v>147</v>
      </c>
      <c r="C65" s="34"/>
      <c r="D65" s="8"/>
    </row>
    <row r="66" spans="1:4" ht="28.8" x14ac:dyDescent="0.3">
      <c r="A66" s="34">
        <v>3</v>
      </c>
      <c r="B66" s="8" t="s">
        <v>146</v>
      </c>
      <c r="C66" s="34"/>
      <c r="D66" s="8"/>
    </row>
    <row r="67" spans="1:4" ht="57.6" x14ac:dyDescent="0.3">
      <c r="A67" s="34">
        <v>4</v>
      </c>
      <c r="B67" s="8" t="s">
        <v>0</v>
      </c>
      <c r="C67" s="34"/>
      <c r="D67" s="8"/>
    </row>
    <row r="68" spans="1:4" x14ac:dyDescent="0.3">
      <c r="A68" s="34">
        <v>5</v>
      </c>
      <c r="B68" s="8" t="s">
        <v>1</v>
      </c>
      <c r="C68" s="34"/>
      <c r="D68" s="8"/>
    </row>
    <row r="69" spans="1:4" ht="43.2" x14ac:dyDescent="0.3">
      <c r="A69" s="34">
        <v>6</v>
      </c>
      <c r="B69" s="8" t="s">
        <v>11</v>
      </c>
      <c r="C69" s="34"/>
      <c r="D69" s="8"/>
    </row>
    <row r="70" spans="1:4" x14ac:dyDescent="0.3">
      <c r="C70" s="34"/>
      <c r="D70" s="8"/>
    </row>
  </sheetData>
  <phoneticPr fontId="12" type="noConversion"/>
  <pageMargins left="0.7" right="0.7" top="0.75" bottom="0.75" header="0.3" footer="0.3"/>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workbookViewId="0">
      <selection activeCell="C32" sqref="C32"/>
    </sheetView>
  </sheetViews>
  <sheetFormatPr defaultRowHeight="14.4" x14ac:dyDescent="0.3"/>
  <cols>
    <col min="2" max="2" width="15.88671875" customWidth="1"/>
    <col min="3" max="3" width="14.6640625" customWidth="1"/>
    <col min="4" max="4" width="13.44140625" customWidth="1"/>
  </cols>
  <sheetData>
    <row r="1" spans="1:4" ht="43.2" x14ac:dyDescent="0.3">
      <c r="B1" s="8" t="str">
        <f>Summary!B5</f>
        <v>Rebalance at 5% Thresholds</v>
      </c>
      <c r="C1" s="8" t="str">
        <f>Summary!C5</f>
        <v>No Rebalancing</v>
      </c>
      <c r="D1" s="8" t="str">
        <f>Summary!D5</f>
        <v>Panic and Sell When S&amp;P 500 Falls &gt; 20%</v>
      </c>
    </row>
    <row r="2" spans="1:4" x14ac:dyDescent="0.3">
      <c r="A2" t="s">
        <v>117</v>
      </c>
      <c r="B2" s="67">
        <f>'Non-Rebalanced Portfolio'!I37</f>
        <v>100000</v>
      </c>
      <c r="C2" s="2">
        <f>'Non-Rebalanced Portfolio'!I37</f>
        <v>100000</v>
      </c>
      <c r="D2" s="67">
        <f>'Panic Portfolio'!I37</f>
        <v>100000</v>
      </c>
    </row>
    <row r="3" spans="1:4" x14ac:dyDescent="0.3">
      <c r="A3">
        <f>'Rebalanced Portfolio'!A38</f>
        <v>1988</v>
      </c>
      <c r="B3" s="2">
        <f>'Rebalanced Portfolio'!I38</f>
        <v>115128.7</v>
      </c>
      <c r="C3" s="2">
        <f>'Non-Rebalanced Portfolio'!I38</f>
        <v>115128.7</v>
      </c>
      <c r="D3" s="67">
        <f>'Panic Portfolio'!I38</f>
        <v>115128.7</v>
      </c>
    </row>
    <row r="4" spans="1:4" x14ac:dyDescent="0.3">
      <c r="A4">
        <f>'Rebalanced Portfolio'!A39</f>
        <v>1989</v>
      </c>
      <c r="B4" s="2">
        <f>'Rebalanced Portfolio'!I39</f>
        <v>141636.61841199998</v>
      </c>
      <c r="C4" s="2">
        <f>'Non-Rebalanced Portfolio'!I39</f>
        <v>141636.61841199998</v>
      </c>
      <c r="D4" s="67">
        <f>'Panic Portfolio'!I39</f>
        <v>141636.61841199998</v>
      </c>
    </row>
    <row r="5" spans="1:4" x14ac:dyDescent="0.3">
      <c r="A5">
        <f>'Rebalanced Portfolio'!A40</f>
        <v>1990</v>
      </c>
      <c r="B5" s="2">
        <f>'Rebalanced Portfolio'!I40</f>
        <v>133858.4800690712</v>
      </c>
      <c r="C5" s="2">
        <f>'Non-Rebalanced Portfolio'!I40</f>
        <v>133858.4800690712</v>
      </c>
      <c r="D5" s="67">
        <f>'Panic Portfolio'!I40</f>
        <v>133858.4800690712</v>
      </c>
    </row>
    <row r="6" spans="1:4" x14ac:dyDescent="0.3">
      <c r="A6">
        <f>'Rebalanced Portfolio'!A41</f>
        <v>1991</v>
      </c>
      <c r="B6" s="2">
        <f>'Rebalanced Portfolio'!I41</f>
        <v>167493.8429463341</v>
      </c>
      <c r="C6" s="2">
        <f>'Non-Rebalanced Portfolio'!I41</f>
        <v>167493.8429463341</v>
      </c>
      <c r="D6" s="67">
        <f>'Panic Portfolio'!I41</f>
        <v>167493.8429463341</v>
      </c>
    </row>
    <row r="7" spans="1:4" x14ac:dyDescent="0.3">
      <c r="A7">
        <f>'Rebalanced Portfolio'!A42</f>
        <v>1992</v>
      </c>
      <c r="B7" s="2">
        <f>'Rebalanced Portfolio'!I42</f>
        <v>177876.37719922079</v>
      </c>
      <c r="C7" s="2">
        <f>'Non-Rebalanced Portfolio'!I42</f>
        <v>177876.37719922079</v>
      </c>
      <c r="D7" s="67">
        <f>'Panic Portfolio'!I42</f>
        <v>177876.37719922079</v>
      </c>
    </row>
    <row r="8" spans="1:4" x14ac:dyDescent="0.3">
      <c r="A8">
        <f>'Rebalanced Portfolio'!A43</f>
        <v>1993</v>
      </c>
      <c r="B8" s="2">
        <f>'Rebalanced Portfolio'!I43</f>
        <v>205140.91254356297</v>
      </c>
      <c r="C8" s="2">
        <f>'Non-Rebalanced Portfolio'!I43</f>
        <v>203606.98989378076</v>
      </c>
      <c r="D8" s="67">
        <f>'Panic Portfolio'!I43</f>
        <v>203606.98989378076</v>
      </c>
    </row>
    <row r="9" spans="1:4" x14ac:dyDescent="0.3">
      <c r="A9">
        <f>'Rebalanced Portfolio'!A44</f>
        <v>1994</v>
      </c>
      <c r="B9" s="2">
        <f>'Rebalanced Portfolio'!I44</f>
        <v>205407.20212502213</v>
      </c>
      <c r="C9" s="2">
        <f>'Non-Rebalanced Portfolio'!I44</f>
        <v>203282.46836661967</v>
      </c>
      <c r="D9" s="67">
        <f>'Panic Portfolio'!I44</f>
        <v>203282.46836661967</v>
      </c>
    </row>
    <row r="10" spans="1:4" x14ac:dyDescent="0.3">
      <c r="A10">
        <f>'Rebalanced Portfolio'!A45</f>
        <v>1995</v>
      </c>
      <c r="B10" s="2">
        <f>'Rebalanced Portfolio'!I45</f>
        <v>255575.4230099502</v>
      </c>
      <c r="C10" s="2">
        <f>'Non-Rebalanced Portfolio'!I45</f>
        <v>256734.97510949662</v>
      </c>
      <c r="D10" s="67">
        <f>'Panic Portfolio'!I45</f>
        <v>256734.97510949662</v>
      </c>
    </row>
    <row r="11" spans="1:4" x14ac:dyDescent="0.3">
      <c r="A11">
        <f>'Rebalanced Portfolio'!A46</f>
        <v>1996</v>
      </c>
      <c r="B11" s="2">
        <f>'Rebalanced Portfolio'!I46</f>
        <v>290071.07592603128</v>
      </c>
      <c r="C11" s="2">
        <f>'Non-Rebalanced Portfolio'!I46</f>
        <v>293680.90142641502</v>
      </c>
      <c r="D11" s="67">
        <f>'Panic Portfolio'!I46</f>
        <v>293680.90142641502</v>
      </c>
    </row>
    <row r="12" spans="1:4" x14ac:dyDescent="0.3">
      <c r="A12">
        <f>'Rebalanced Portfolio'!A47</f>
        <v>1997</v>
      </c>
      <c r="B12" s="2">
        <f>'Rebalanced Portfolio'!I47</f>
        <v>340314.57705825509</v>
      </c>
      <c r="C12" s="2">
        <f>'Non-Rebalanced Portfolio'!I47</f>
        <v>354018.63151480729</v>
      </c>
      <c r="D12" s="67">
        <f>'Panic Portfolio'!I47</f>
        <v>349994.43115181063</v>
      </c>
    </row>
    <row r="13" spans="1:4" x14ac:dyDescent="0.3">
      <c r="A13">
        <f>'Rebalanced Portfolio'!A48</f>
        <v>1998</v>
      </c>
      <c r="B13" s="2">
        <f>'Rebalanced Portfolio'!I48</f>
        <v>388821.71645159763</v>
      </c>
      <c r="C13" s="2">
        <f>'Non-Rebalanced Portfolio'!I48</f>
        <v>407869.43346063432</v>
      </c>
      <c r="D13" s="67">
        <f>'Panic Portfolio'!I48</f>
        <v>403217.3371149993</v>
      </c>
    </row>
    <row r="14" spans="1:4" x14ac:dyDescent="0.3">
      <c r="A14">
        <f>'Rebalanced Portfolio'!A49</f>
        <v>1999</v>
      </c>
      <c r="B14" s="2">
        <f>'Rebalanced Portfolio'!I49</f>
        <v>448463.41392478434</v>
      </c>
      <c r="C14" s="2">
        <f>'Non-Rebalanced Portfolio'!I49</f>
        <v>476889.25990775815</v>
      </c>
      <c r="D14" s="67">
        <f>'Panic Portfolio'!I49</f>
        <v>457342.91920006735</v>
      </c>
    </row>
    <row r="15" spans="1:4" x14ac:dyDescent="0.3">
      <c r="A15">
        <f>'Rebalanced Portfolio'!A50</f>
        <v>2000</v>
      </c>
      <c r="B15" s="2">
        <f>'Rebalanced Portfolio'!I50</f>
        <v>452391.37206729566</v>
      </c>
      <c r="C15" s="2">
        <f>'Non-Rebalanced Portfolio'!I50</f>
        <v>479918.64024926448</v>
      </c>
      <c r="D15" s="67">
        <f>'Panic Portfolio'!I50</f>
        <v>459838.57914978766</v>
      </c>
    </row>
    <row r="16" spans="1:4" x14ac:dyDescent="0.3">
      <c r="A16">
        <f>'Rebalanced Portfolio'!A51</f>
        <v>2001</v>
      </c>
      <c r="B16" s="2">
        <f>'Rebalanced Portfolio'!I51</f>
        <v>436687.46936616325</v>
      </c>
      <c r="C16" s="2">
        <f>'Non-Rebalanced Portfolio'!I51</f>
        <v>459497.33354131912</v>
      </c>
      <c r="D16" s="67">
        <f>'Panic Portfolio'!I51</f>
        <v>440356.85436330229</v>
      </c>
    </row>
    <row r="17" spans="1:4" x14ac:dyDescent="0.3">
      <c r="A17">
        <f>'Rebalanced Portfolio'!A52</f>
        <v>2002</v>
      </c>
      <c r="B17" s="2">
        <f>'Rebalanced Portfolio'!I52</f>
        <v>396289.33387024264</v>
      </c>
      <c r="C17" s="2">
        <f>'Non-Rebalanced Portfolio'!I52</f>
        <v>400077.87901412754</v>
      </c>
      <c r="D17" s="67">
        <f>'Panic Portfolio'!I52</f>
        <v>384005.6214241616</v>
      </c>
    </row>
    <row r="18" spans="1:4" x14ac:dyDescent="0.3">
      <c r="A18">
        <f>'Rebalanced Portfolio'!A53</f>
        <v>2003</v>
      </c>
      <c r="B18" s="2">
        <f>'Rebalanced Portfolio'!I53</f>
        <v>500712.36592371936</v>
      </c>
      <c r="C18" s="2">
        <f>'Non-Rebalanced Portfolio'!I53</f>
        <v>509041.89040780923</v>
      </c>
      <c r="D18" s="67">
        <f>'Panic Portfolio'!I53</f>
        <v>399250.64459470083</v>
      </c>
    </row>
    <row r="19" spans="1:4" x14ac:dyDescent="0.3">
      <c r="A19">
        <f>'Rebalanced Portfolio'!A54</f>
        <v>2004</v>
      </c>
      <c r="B19" s="2">
        <f>'Rebalanced Portfolio'!I54</f>
        <v>569048.08748789085</v>
      </c>
      <c r="C19" s="2">
        <f>'Non-Rebalanced Portfolio'!I54</f>
        <v>583624.55608503462</v>
      </c>
      <c r="D19" s="67">
        <f>'Panic Portfolio'!I54</f>
        <v>453739.1748170518</v>
      </c>
    </row>
    <row r="20" spans="1:4" x14ac:dyDescent="0.3">
      <c r="A20">
        <f>'Rebalanced Portfolio'!A55</f>
        <v>2005</v>
      </c>
      <c r="B20" s="2">
        <f>'Rebalanced Portfolio'!I55</f>
        <v>618148.79505889327</v>
      </c>
      <c r="C20" s="2">
        <f>'Non-Rebalanced Portfolio'!I55</f>
        <v>634981.96094858414</v>
      </c>
      <c r="D20" s="67">
        <f>'Panic Portfolio'!I55</f>
        <v>492890.37315347383</v>
      </c>
    </row>
    <row r="21" spans="1:4" x14ac:dyDescent="0.3">
      <c r="A21">
        <f>'Rebalanced Portfolio'!A56</f>
        <v>2006</v>
      </c>
      <c r="B21" s="2">
        <f>'Rebalanced Portfolio'!I56</f>
        <v>709180.96420079516</v>
      </c>
      <c r="C21" s="2">
        <f>'Non-Rebalanced Portfolio'!I56</f>
        <v>725533.29720736458</v>
      </c>
      <c r="D21" s="67">
        <f>'Panic Portfolio'!I56</f>
        <v>565476.26214327163</v>
      </c>
    </row>
    <row r="22" spans="1:4" x14ac:dyDescent="0.3">
      <c r="A22">
        <f>'Rebalanced Portfolio'!A57</f>
        <v>2007</v>
      </c>
      <c r="B22" s="2">
        <f>'Rebalanced Portfolio'!I57</f>
        <v>762924.11602985975</v>
      </c>
      <c r="C22" s="2">
        <f>'Non-Rebalanced Portfolio'!I57</f>
        <v>772841.85934956674</v>
      </c>
      <c r="D22" s="67">
        <f>'Panic Portfolio'!I57</f>
        <v>610571.2516549537</v>
      </c>
    </row>
    <row r="23" spans="1:4" x14ac:dyDescent="0.3">
      <c r="A23">
        <f>'Rebalanced Portfolio'!A58</f>
        <v>2008</v>
      </c>
      <c r="B23" s="2">
        <f>'Rebalanced Portfolio'!I58</f>
        <v>558044.21354910964</v>
      </c>
      <c r="C23" s="2">
        <f>'Non-Rebalanced Portfolio'!I58</f>
        <v>519417.57448855188</v>
      </c>
      <c r="D23" s="67">
        <f>'Panic Portfolio'!I58</f>
        <v>427186.67721459788</v>
      </c>
    </row>
    <row r="24" spans="1:4" x14ac:dyDescent="0.3">
      <c r="A24">
        <f>'Rebalanced Portfolio'!A59</f>
        <v>2009</v>
      </c>
      <c r="B24" s="2">
        <f>'Rebalanced Portfolio'!I59</f>
        <v>703569.86747001938</v>
      </c>
      <c r="C24" s="2">
        <f>'Non-Rebalanced Portfolio'!I59</f>
        <v>663607.61261138797</v>
      </c>
      <c r="D24" s="67">
        <f>'Panic Portfolio'!I59</f>
        <v>452518.84717342351</v>
      </c>
    </row>
    <row r="25" spans="1:4" x14ac:dyDescent="0.3">
      <c r="A25">
        <f>'Rebalanced Portfolio'!A60</f>
        <v>2010</v>
      </c>
      <c r="B25" s="2">
        <f>'Rebalanced Portfolio'!I60</f>
        <v>813873.13002741348</v>
      </c>
      <c r="C25" s="2">
        <f>'Non-Rebalanced Portfolio'!I60</f>
        <v>781690.58032183314</v>
      </c>
      <c r="D25" s="67">
        <f>'Panic Portfolio'!I60</f>
        <v>520378.57349555008</v>
      </c>
    </row>
    <row r="26" spans="1:4" x14ac:dyDescent="0.3">
      <c r="A26">
        <f>'Rebalanced Portfolio'!A61</f>
        <v>2011</v>
      </c>
      <c r="B26" s="2">
        <f>'Rebalanced Portfolio'!I61</f>
        <v>806125.05782955256</v>
      </c>
      <c r="C26" s="2">
        <f>'Non-Rebalanced Portfolio'!I61</f>
        <v>773893.83825346944</v>
      </c>
      <c r="D26" s="67">
        <f>'Panic Portfolio'!I61</f>
        <v>514692.58096193353</v>
      </c>
    </row>
    <row r="27" spans="1:4" x14ac:dyDescent="0.3">
      <c r="A27">
        <f>'Rebalanced Portfolio'!A62</f>
        <v>2012</v>
      </c>
      <c r="B27" s="2">
        <f>'Rebalanced Portfolio'!I62</f>
        <v>907694.47116146167</v>
      </c>
      <c r="C27" s="2">
        <f>'Non-Rebalanced Portfolio'!I62</f>
        <v>882267.90325588686</v>
      </c>
      <c r="D27" s="67">
        <f>'Panic Portfolio'!I62</f>
        <v>581045.54071168299</v>
      </c>
    </row>
    <row r="28" spans="1:4" x14ac:dyDescent="0.3">
      <c r="A28">
        <f>'Rebalanced Portfolio'!A63</f>
        <v>2013</v>
      </c>
      <c r="B28" s="2">
        <f>'Rebalanced Portfolio'!I63</f>
        <v>1087802.6409055442</v>
      </c>
      <c r="C28" s="2">
        <f>'Non-Rebalanced Portfolio'!I63</f>
        <v>1110307.8402303576</v>
      </c>
      <c r="D28" s="67">
        <f>'Panic Portfolio'!I63</f>
        <v>702179.02161490882</v>
      </c>
    </row>
    <row r="29" spans="1:4" x14ac:dyDescent="0.3">
      <c r="A29">
        <f>'Rebalanced Portfolio'!A64</f>
        <v>2014</v>
      </c>
      <c r="B29" s="2">
        <f>'Rebalanced Portfolio'!I64</f>
        <v>1164373.0687988854</v>
      </c>
      <c r="C29" s="2">
        <f>'Non-Rebalanced Portfolio'!I64</f>
        <v>1218210.5505260366</v>
      </c>
      <c r="D29" s="67">
        <f>'Panic Portfolio'!I64</f>
        <v>758620.68050951278</v>
      </c>
    </row>
    <row r="30" spans="1:4" x14ac:dyDescent="0.3">
      <c r="A30">
        <f>'Rebalanced Portfolio'!A65</f>
        <v>2015</v>
      </c>
      <c r="B30" s="2">
        <f>'Rebalanced Portfolio'!I65</f>
        <v>1151367.8008134337</v>
      </c>
      <c r="C30" s="2">
        <f>'Non-Rebalanced Portfolio'!I65</f>
        <v>1203796.3975470606</v>
      </c>
      <c r="D30" s="67">
        <f>'Panic Portfolio'!I65</f>
        <v>749952.98776025954</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
  <sheetViews>
    <sheetView workbookViewId="0">
      <selection activeCell="A24" sqref="A24"/>
    </sheetView>
  </sheetViews>
  <sheetFormatPr defaultRowHeight="14.4" x14ac:dyDescent="0.3"/>
  <cols>
    <col min="1" max="1" width="37.109375" bestFit="1" customWidth="1"/>
    <col min="2" max="2" width="10.88671875" bestFit="1" customWidth="1"/>
  </cols>
  <sheetData>
    <row r="2" spans="1:2" x14ac:dyDescent="0.3">
      <c r="A2" t="s">
        <v>38</v>
      </c>
      <c r="B2" s="2">
        <f>Summary!B6</f>
        <v>1151367.8008134337</v>
      </c>
    </row>
    <row r="3" spans="1:2" x14ac:dyDescent="0.3">
      <c r="A3" t="s">
        <v>149</v>
      </c>
      <c r="B3" s="2">
        <f>Summary!D6</f>
        <v>749952.98776025954</v>
      </c>
    </row>
  </sheetData>
  <pageMargins left="0.7" right="0.7" top="0.75" bottom="0.75" header="0.3" footer="0.3"/>
  <pageSetup orientation="portrait" r:id="rId1"/>
  <headerFooter>
    <oddFoote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topLeftCell="A38" workbookViewId="0">
      <selection activeCell="B67" sqref="B67"/>
    </sheetView>
  </sheetViews>
  <sheetFormatPr defaultColWidth="8.88671875" defaultRowHeight="14.4" x14ac:dyDescent="0.3"/>
  <sheetData>
    <row r="1" spans="1:2" x14ac:dyDescent="0.3">
      <c r="A1" s="20" t="s">
        <v>94</v>
      </c>
    </row>
    <row r="3" spans="1:2" x14ac:dyDescent="0.3">
      <c r="A3" t="s">
        <v>47</v>
      </c>
    </row>
    <row r="5" spans="1:2" x14ac:dyDescent="0.3">
      <c r="A5" s="37" t="s">
        <v>97</v>
      </c>
    </row>
    <row r="6" spans="1:2" x14ac:dyDescent="0.3">
      <c r="A6" t="s">
        <v>99</v>
      </c>
    </row>
    <row r="7" spans="1:2" x14ac:dyDescent="0.3">
      <c r="A7" t="s">
        <v>63</v>
      </c>
    </row>
    <row r="8" spans="1:2" x14ac:dyDescent="0.3">
      <c r="A8" t="s">
        <v>98</v>
      </c>
    </row>
    <row r="9" spans="1:2" x14ac:dyDescent="0.3">
      <c r="A9" t="s">
        <v>62</v>
      </c>
    </row>
    <row r="10" spans="1:2" x14ac:dyDescent="0.3">
      <c r="A10" t="s">
        <v>100</v>
      </c>
    </row>
    <row r="11" spans="1:2" x14ac:dyDescent="0.3">
      <c r="A11" s="35" t="s">
        <v>101</v>
      </c>
    </row>
    <row r="12" spans="1:2" x14ac:dyDescent="0.3">
      <c r="A12" s="35" t="s">
        <v>102</v>
      </c>
    </row>
    <row r="14" spans="1:2" x14ac:dyDescent="0.3">
      <c r="A14" s="37" t="s">
        <v>104</v>
      </c>
    </row>
    <row r="15" spans="1:2" x14ac:dyDescent="0.3">
      <c r="A15" s="35" t="s">
        <v>103</v>
      </c>
      <c r="B15" s="35"/>
    </row>
    <row r="16" spans="1:2" x14ac:dyDescent="0.3">
      <c r="A16" s="36">
        <v>0.2</v>
      </c>
      <c r="B16" s="35" t="s">
        <v>70</v>
      </c>
    </row>
    <row r="17" spans="1:2" x14ac:dyDescent="0.3">
      <c r="A17" s="36">
        <v>0.2</v>
      </c>
      <c r="B17" s="35" t="s">
        <v>71</v>
      </c>
    </row>
    <row r="18" spans="1:2" x14ac:dyDescent="0.3">
      <c r="A18" s="36">
        <v>0.1</v>
      </c>
      <c r="B18" s="35" t="s">
        <v>72</v>
      </c>
    </row>
    <row r="19" spans="1:2" x14ac:dyDescent="0.3">
      <c r="A19" s="36">
        <v>0.15</v>
      </c>
      <c r="B19" s="35" t="s">
        <v>73</v>
      </c>
    </row>
    <row r="20" spans="1:2" x14ac:dyDescent="0.3">
      <c r="A20" s="36">
        <v>0.05</v>
      </c>
      <c r="B20" s="35" t="s">
        <v>49</v>
      </c>
    </row>
    <row r="21" spans="1:2" x14ac:dyDescent="0.3">
      <c r="A21" s="36">
        <v>0.3</v>
      </c>
      <c r="B21" s="35" t="s">
        <v>67</v>
      </c>
    </row>
    <row r="22" spans="1:2" x14ac:dyDescent="0.3">
      <c r="A22" s="36">
        <f>SUM(A16:A21)</f>
        <v>1</v>
      </c>
      <c r="B22" s="35" t="s">
        <v>74</v>
      </c>
    </row>
    <row r="24" spans="1:2" x14ac:dyDescent="0.3">
      <c r="A24" s="37" t="s">
        <v>105</v>
      </c>
    </row>
    <row r="25" spans="1:2" x14ac:dyDescent="0.3">
      <c r="A25" t="s">
        <v>106</v>
      </c>
    </row>
    <row r="26" spans="1:2" x14ac:dyDescent="0.3">
      <c r="A26" t="s">
        <v>107</v>
      </c>
    </row>
    <row r="29" spans="1:2" x14ac:dyDescent="0.3">
      <c r="A29" s="48" t="s">
        <v>108</v>
      </c>
    </row>
    <row r="30" spans="1:2" x14ac:dyDescent="0.3">
      <c r="A30" t="s">
        <v>29</v>
      </c>
    </row>
    <row r="31" spans="1:2" x14ac:dyDescent="0.3">
      <c r="A31" t="s">
        <v>30</v>
      </c>
    </row>
    <row r="32" spans="1:2" x14ac:dyDescent="0.3">
      <c r="A32" t="s">
        <v>31</v>
      </c>
    </row>
    <row r="33" spans="1:1" x14ac:dyDescent="0.3">
      <c r="A33" t="s">
        <v>32</v>
      </c>
    </row>
    <row r="36" spans="1:1" x14ac:dyDescent="0.3">
      <c r="A36" s="48" t="s">
        <v>150</v>
      </c>
    </row>
    <row r="37" spans="1:1" x14ac:dyDescent="0.3">
      <c r="A37" s="49" t="s">
        <v>148</v>
      </c>
    </row>
    <row r="38" spans="1:1" x14ac:dyDescent="0.3">
      <c r="A38" t="s">
        <v>48</v>
      </c>
    </row>
    <row r="39" spans="1:1" x14ac:dyDescent="0.3">
      <c r="A39" t="s">
        <v>158</v>
      </c>
    </row>
    <row r="40" spans="1:1" x14ac:dyDescent="0.3">
      <c r="A40" t="s">
        <v>159</v>
      </c>
    </row>
    <row r="41" spans="1:1" x14ac:dyDescent="0.3">
      <c r="A41" t="s">
        <v>160</v>
      </c>
    </row>
    <row r="43" spans="1:1" x14ac:dyDescent="0.3">
      <c r="A43" t="s">
        <v>89</v>
      </c>
    </row>
  </sheetData>
  <hyperlinks>
    <hyperlink ref="A37" r:id="rId1"/>
  </hyperlinks>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workbookViewId="0">
      <selection activeCell="C4" sqref="C4"/>
    </sheetView>
  </sheetViews>
  <sheetFormatPr defaultColWidth="12.44140625" defaultRowHeight="14.4" x14ac:dyDescent="0.3"/>
  <cols>
    <col min="1" max="1" width="50.109375" customWidth="1"/>
    <col min="2" max="3" width="14.88671875" customWidth="1"/>
    <col min="4" max="4" width="15.88671875" customWidth="1"/>
    <col min="5" max="5" width="5.33203125" customWidth="1"/>
    <col min="6" max="8" width="0" hidden="1" customWidth="1"/>
    <col min="10" max="11" width="0" hidden="1" customWidth="1"/>
    <col min="13" max="14" width="12.44140625" customWidth="1"/>
    <col min="256" max="256" width="50.109375" customWidth="1"/>
    <col min="257" max="257" width="14.88671875" customWidth="1"/>
    <col min="258" max="258" width="15.88671875" customWidth="1"/>
    <col min="512" max="512" width="50.109375" customWidth="1"/>
    <col min="513" max="513" width="14.88671875" customWidth="1"/>
    <col min="514" max="514" width="15.88671875" customWidth="1"/>
    <col min="768" max="768" width="50.109375" customWidth="1"/>
    <col min="769" max="769" width="14.88671875" customWidth="1"/>
    <col min="770" max="770" width="15.88671875" customWidth="1"/>
    <col min="1024" max="1024" width="50.109375" customWidth="1"/>
    <col min="1025" max="1025" width="14.88671875" customWidth="1"/>
    <col min="1026" max="1026" width="15.88671875" customWidth="1"/>
    <col min="1280" max="1280" width="50.109375" customWidth="1"/>
    <col min="1281" max="1281" width="14.88671875" customWidth="1"/>
    <col min="1282" max="1282" width="15.88671875" customWidth="1"/>
    <col min="1536" max="1536" width="50.109375" customWidth="1"/>
    <col min="1537" max="1537" width="14.88671875" customWidth="1"/>
    <col min="1538" max="1538" width="15.88671875" customWidth="1"/>
    <col min="1792" max="1792" width="50.109375" customWidth="1"/>
    <col min="1793" max="1793" width="14.88671875" customWidth="1"/>
    <col min="1794" max="1794" width="15.88671875" customWidth="1"/>
    <col min="2048" max="2048" width="50.109375" customWidth="1"/>
    <col min="2049" max="2049" width="14.88671875" customWidth="1"/>
    <col min="2050" max="2050" width="15.88671875" customWidth="1"/>
    <col min="2304" max="2304" width="50.109375" customWidth="1"/>
    <col min="2305" max="2305" width="14.88671875" customWidth="1"/>
    <col min="2306" max="2306" width="15.88671875" customWidth="1"/>
    <col min="2560" max="2560" width="50.109375" customWidth="1"/>
    <col min="2561" max="2561" width="14.88671875" customWidth="1"/>
    <col min="2562" max="2562" width="15.88671875" customWidth="1"/>
    <col min="2816" max="2816" width="50.109375" customWidth="1"/>
    <col min="2817" max="2817" width="14.88671875" customWidth="1"/>
    <col min="2818" max="2818" width="15.88671875" customWidth="1"/>
    <col min="3072" max="3072" width="50.109375" customWidth="1"/>
    <col min="3073" max="3073" width="14.88671875" customWidth="1"/>
    <col min="3074" max="3074" width="15.88671875" customWidth="1"/>
    <col min="3328" max="3328" width="50.109375" customWidth="1"/>
    <col min="3329" max="3329" width="14.88671875" customWidth="1"/>
    <col min="3330" max="3330" width="15.88671875" customWidth="1"/>
    <col min="3584" max="3584" width="50.109375" customWidth="1"/>
    <col min="3585" max="3585" width="14.88671875" customWidth="1"/>
    <col min="3586" max="3586" width="15.88671875" customWidth="1"/>
    <col min="3840" max="3840" width="50.109375" customWidth="1"/>
    <col min="3841" max="3841" width="14.88671875" customWidth="1"/>
    <col min="3842" max="3842" width="15.88671875" customWidth="1"/>
    <col min="4096" max="4096" width="50.109375" customWidth="1"/>
    <col min="4097" max="4097" width="14.88671875" customWidth="1"/>
    <col min="4098" max="4098" width="15.88671875" customWidth="1"/>
    <col min="4352" max="4352" width="50.109375" customWidth="1"/>
    <col min="4353" max="4353" width="14.88671875" customWidth="1"/>
    <col min="4354" max="4354" width="15.88671875" customWidth="1"/>
    <col min="4608" max="4608" width="50.109375" customWidth="1"/>
    <col min="4609" max="4609" width="14.88671875" customWidth="1"/>
    <col min="4610" max="4610" width="15.88671875" customWidth="1"/>
    <col min="4864" max="4864" width="50.109375" customWidth="1"/>
    <col min="4865" max="4865" width="14.88671875" customWidth="1"/>
    <col min="4866" max="4866" width="15.88671875" customWidth="1"/>
    <col min="5120" max="5120" width="50.109375" customWidth="1"/>
    <col min="5121" max="5121" width="14.88671875" customWidth="1"/>
    <col min="5122" max="5122" width="15.88671875" customWidth="1"/>
    <col min="5376" max="5376" width="50.109375" customWidth="1"/>
    <col min="5377" max="5377" width="14.88671875" customWidth="1"/>
    <col min="5378" max="5378" width="15.88671875" customWidth="1"/>
    <col min="5632" max="5632" width="50.109375" customWidth="1"/>
    <col min="5633" max="5633" width="14.88671875" customWidth="1"/>
    <col min="5634" max="5634" width="15.88671875" customWidth="1"/>
    <col min="5888" max="5888" width="50.109375" customWidth="1"/>
    <col min="5889" max="5889" width="14.88671875" customWidth="1"/>
    <col min="5890" max="5890" width="15.88671875" customWidth="1"/>
    <col min="6144" max="6144" width="50.109375" customWidth="1"/>
    <col min="6145" max="6145" width="14.88671875" customWidth="1"/>
    <col min="6146" max="6146" width="15.88671875" customWidth="1"/>
    <col min="6400" max="6400" width="50.109375" customWidth="1"/>
    <col min="6401" max="6401" width="14.88671875" customWidth="1"/>
    <col min="6402" max="6402" width="15.88671875" customWidth="1"/>
    <col min="6656" max="6656" width="50.109375" customWidth="1"/>
    <col min="6657" max="6657" width="14.88671875" customWidth="1"/>
    <col min="6658" max="6658" width="15.88671875" customWidth="1"/>
    <col min="6912" max="6912" width="50.109375" customWidth="1"/>
    <col min="6913" max="6913" width="14.88671875" customWidth="1"/>
    <col min="6914" max="6914" width="15.88671875" customWidth="1"/>
    <col min="7168" max="7168" width="50.109375" customWidth="1"/>
    <col min="7169" max="7169" width="14.88671875" customWidth="1"/>
    <col min="7170" max="7170" width="15.88671875" customWidth="1"/>
    <col min="7424" max="7424" width="50.109375" customWidth="1"/>
    <col min="7425" max="7425" width="14.88671875" customWidth="1"/>
    <col min="7426" max="7426" width="15.88671875" customWidth="1"/>
    <col min="7680" max="7680" width="50.109375" customWidth="1"/>
    <col min="7681" max="7681" width="14.88671875" customWidth="1"/>
    <col min="7682" max="7682" width="15.88671875" customWidth="1"/>
    <col min="7936" max="7936" width="50.109375" customWidth="1"/>
    <col min="7937" max="7937" width="14.88671875" customWidth="1"/>
    <col min="7938" max="7938" width="15.88671875" customWidth="1"/>
    <col min="8192" max="8192" width="50.109375" customWidth="1"/>
    <col min="8193" max="8193" width="14.88671875" customWidth="1"/>
    <col min="8194" max="8194" width="15.88671875" customWidth="1"/>
    <col min="8448" max="8448" width="50.109375" customWidth="1"/>
    <col min="8449" max="8449" width="14.88671875" customWidth="1"/>
    <col min="8450" max="8450" width="15.88671875" customWidth="1"/>
    <col min="8704" max="8704" width="50.109375" customWidth="1"/>
    <col min="8705" max="8705" width="14.88671875" customWidth="1"/>
    <col min="8706" max="8706" width="15.88671875" customWidth="1"/>
    <col min="8960" max="8960" width="50.109375" customWidth="1"/>
    <col min="8961" max="8961" width="14.88671875" customWidth="1"/>
    <col min="8962" max="8962" width="15.88671875" customWidth="1"/>
    <col min="9216" max="9216" width="50.109375" customWidth="1"/>
    <col min="9217" max="9217" width="14.88671875" customWidth="1"/>
    <col min="9218" max="9218" width="15.88671875" customWidth="1"/>
    <col min="9472" max="9472" width="50.109375" customWidth="1"/>
    <col min="9473" max="9473" width="14.88671875" customWidth="1"/>
    <col min="9474" max="9474" width="15.88671875" customWidth="1"/>
    <col min="9728" max="9728" width="50.109375" customWidth="1"/>
    <col min="9729" max="9729" width="14.88671875" customWidth="1"/>
    <col min="9730" max="9730" width="15.88671875" customWidth="1"/>
    <col min="9984" max="9984" width="50.109375" customWidth="1"/>
    <col min="9985" max="9985" width="14.88671875" customWidth="1"/>
    <col min="9986" max="9986" width="15.88671875" customWidth="1"/>
    <col min="10240" max="10240" width="50.109375" customWidth="1"/>
    <col min="10241" max="10241" width="14.88671875" customWidth="1"/>
    <col min="10242" max="10242" width="15.88671875" customWidth="1"/>
    <col min="10496" max="10496" width="50.109375" customWidth="1"/>
    <col min="10497" max="10497" width="14.88671875" customWidth="1"/>
    <col min="10498" max="10498" width="15.88671875" customWidth="1"/>
    <col min="10752" max="10752" width="50.109375" customWidth="1"/>
    <col min="10753" max="10753" width="14.88671875" customWidth="1"/>
    <col min="10754" max="10754" width="15.88671875" customWidth="1"/>
    <col min="11008" max="11008" width="50.109375" customWidth="1"/>
    <col min="11009" max="11009" width="14.88671875" customWidth="1"/>
    <col min="11010" max="11010" width="15.88671875" customWidth="1"/>
    <col min="11264" max="11264" width="50.109375" customWidth="1"/>
    <col min="11265" max="11265" width="14.88671875" customWidth="1"/>
    <col min="11266" max="11266" width="15.88671875" customWidth="1"/>
    <col min="11520" max="11520" width="50.109375" customWidth="1"/>
    <col min="11521" max="11521" width="14.88671875" customWidth="1"/>
    <col min="11522" max="11522" width="15.88671875" customWidth="1"/>
    <col min="11776" max="11776" width="50.109375" customWidth="1"/>
    <col min="11777" max="11777" width="14.88671875" customWidth="1"/>
    <col min="11778" max="11778" width="15.88671875" customWidth="1"/>
    <col min="12032" max="12032" width="50.109375" customWidth="1"/>
    <col min="12033" max="12033" width="14.88671875" customWidth="1"/>
    <col min="12034" max="12034" width="15.88671875" customWidth="1"/>
    <col min="12288" max="12288" width="50.109375" customWidth="1"/>
    <col min="12289" max="12289" width="14.88671875" customWidth="1"/>
    <col min="12290" max="12290" width="15.88671875" customWidth="1"/>
    <col min="12544" max="12544" width="50.109375" customWidth="1"/>
    <col min="12545" max="12545" width="14.88671875" customWidth="1"/>
    <col min="12546" max="12546" width="15.88671875" customWidth="1"/>
    <col min="12800" max="12800" width="50.109375" customWidth="1"/>
    <col min="12801" max="12801" width="14.88671875" customWidth="1"/>
    <col min="12802" max="12802" width="15.88671875" customWidth="1"/>
    <col min="13056" max="13056" width="50.109375" customWidth="1"/>
    <col min="13057" max="13057" width="14.88671875" customWidth="1"/>
    <col min="13058" max="13058" width="15.88671875" customWidth="1"/>
    <col min="13312" max="13312" width="50.109375" customWidth="1"/>
    <col min="13313" max="13313" width="14.88671875" customWidth="1"/>
    <col min="13314" max="13314" width="15.88671875" customWidth="1"/>
    <col min="13568" max="13568" width="50.109375" customWidth="1"/>
    <col min="13569" max="13569" width="14.88671875" customWidth="1"/>
    <col min="13570" max="13570" width="15.88671875" customWidth="1"/>
    <col min="13824" max="13824" width="50.109375" customWidth="1"/>
    <col min="13825" max="13825" width="14.88671875" customWidth="1"/>
    <col min="13826" max="13826" width="15.88671875" customWidth="1"/>
    <col min="14080" max="14080" width="50.109375" customWidth="1"/>
    <col min="14081" max="14081" width="14.88671875" customWidth="1"/>
    <col min="14082" max="14082" width="15.88671875" customWidth="1"/>
    <col min="14336" max="14336" width="50.109375" customWidth="1"/>
    <col min="14337" max="14337" width="14.88671875" customWidth="1"/>
    <col min="14338" max="14338" width="15.88671875" customWidth="1"/>
    <col min="14592" max="14592" width="50.109375" customWidth="1"/>
    <col min="14593" max="14593" width="14.88671875" customWidth="1"/>
    <col min="14594" max="14594" width="15.88671875" customWidth="1"/>
    <col min="14848" max="14848" width="50.109375" customWidth="1"/>
    <col min="14849" max="14849" width="14.88671875" customWidth="1"/>
    <col min="14850" max="14850" width="15.88671875" customWidth="1"/>
    <col min="15104" max="15104" width="50.109375" customWidth="1"/>
    <col min="15105" max="15105" width="14.88671875" customWidth="1"/>
    <col min="15106" max="15106" width="15.88671875" customWidth="1"/>
    <col min="15360" max="15360" width="50.109375" customWidth="1"/>
    <col min="15361" max="15361" width="14.88671875" customWidth="1"/>
    <col min="15362" max="15362" width="15.88671875" customWidth="1"/>
    <col min="15616" max="15616" width="50.109375" customWidth="1"/>
    <col min="15617" max="15617" width="14.88671875" customWidth="1"/>
    <col min="15618" max="15618" width="15.88671875" customWidth="1"/>
    <col min="15872" max="15872" width="50.109375" customWidth="1"/>
    <col min="15873" max="15873" width="14.88671875" customWidth="1"/>
    <col min="15874" max="15874" width="15.88671875" customWidth="1"/>
    <col min="16128" max="16128" width="50.109375" customWidth="1"/>
    <col min="16129" max="16129" width="14.88671875" customWidth="1"/>
    <col min="16130" max="16130" width="15.88671875" customWidth="1"/>
  </cols>
  <sheetData>
    <row r="1" spans="1:14" x14ac:dyDescent="0.3">
      <c r="A1" s="20" t="s">
        <v>119</v>
      </c>
    </row>
    <row r="2" spans="1:14" x14ac:dyDescent="0.3">
      <c r="A2" s="20"/>
    </row>
    <row r="3" spans="1:14" x14ac:dyDescent="0.3">
      <c r="A3" s="68" t="s">
        <v>152</v>
      </c>
    </row>
    <row r="5" spans="1:14" ht="43.2" x14ac:dyDescent="0.3">
      <c r="A5" t="s">
        <v>37</v>
      </c>
      <c r="B5" s="41" t="s">
        <v>38</v>
      </c>
      <c r="C5" s="41" t="s">
        <v>131</v>
      </c>
      <c r="D5" s="41" t="s">
        <v>118</v>
      </c>
      <c r="F5" s="41" t="s">
        <v>112</v>
      </c>
      <c r="G5" s="41" t="s">
        <v>113</v>
      </c>
      <c r="H5" s="41" t="s">
        <v>114</v>
      </c>
      <c r="J5" s="76" t="s">
        <v>112</v>
      </c>
      <c r="K5" s="76" t="s">
        <v>113</v>
      </c>
    </row>
    <row r="6" spans="1:14" x14ac:dyDescent="0.3">
      <c r="A6" s="9" t="s">
        <v>82</v>
      </c>
      <c r="B6" s="70">
        <f>'Rebalanced Portfolio'!I66</f>
        <v>1151367.8008134337</v>
      </c>
      <c r="C6" s="70">
        <f>'Non-Rebalanced Portfolio'!I66</f>
        <v>1203796.3975470606</v>
      </c>
      <c r="D6" s="70">
        <f>'Panic Portfolio'!I66</f>
        <v>749952.98776025954</v>
      </c>
      <c r="E6" s="42"/>
      <c r="F6" s="6">
        <f>(B6-D6)/D6</f>
        <v>0.53525330201297372</v>
      </c>
      <c r="G6" s="6">
        <f>(C6-D6)/D6</f>
        <v>0.60516247977384285</v>
      </c>
      <c r="H6" s="6">
        <f>(B6-C6)/C6</f>
        <v>-4.3552711106678063E-2</v>
      </c>
      <c r="J6" s="40">
        <f>B6-D6</f>
        <v>401414.81305317418</v>
      </c>
      <c r="K6" s="40">
        <f>C6-D6</f>
        <v>453843.40978680109</v>
      </c>
    </row>
    <row r="7" spans="1:14" x14ac:dyDescent="0.3">
      <c r="A7" s="11" t="s">
        <v>39</v>
      </c>
      <c r="B7" s="73">
        <f>'Rebalanced Portfolio'!I67</f>
        <v>10.513678008134336</v>
      </c>
      <c r="C7" s="73">
        <f>'Non-Rebalanced Portfolio'!I67</f>
        <v>11.037963975470607</v>
      </c>
      <c r="D7" s="73">
        <f>'Panic Portfolio'!I67</f>
        <v>6.4995298776025949</v>
      </c>
      <c r="F7" s="6">
        <f>(B7-D7)/D7</f>
        <v>0.61760592013962601</v>
      </c>
      <c r="G7" s="6">
        <f>(C7-D7)/D7</f>
        <v>0.69827113396423846</v>
      </c>
      <c r="H7" s="6">
        <f t="shared" ref="H7:H11" si="0">(B7-C7)/C7</f>
        <v>-4.7498430734271124E-2</v>
      </c>
    </row>
    <row r="8" spans="1:14" x14ac:dyDescent="0.3">
      <c r="A8" s="1" t="s">
        <v>84</v>
      </c>
      <c r="B8" s="73">
        <f>'Rebalanced Portfolio'!I68</f>
        <v>0.12286412051095889</v>
      </c>
      <c r="C8" s="73">
        <f>'Non-Rebalanced Portfolio'!I68</f>
        <v>0.13998162602709799</v>
      </c>
      <c r="D8" s="73">
        <f>'Panic Portfolio'!I68</f>
        <v>0.12218529612068207</v>
      </c>
      <c r="F8" s="6">
        <f>(B8-D8)/D8</f>
        <v>5.5556962402934828E-3</v>
      </c>
      <c r="G8" s="6">
        <f>(C8-D8)/D8</f>
        <v>0.14565033986445086</v>
      </c>
      <c r="H8" s="6">
        <f t="shared" si="0"/>
        <v>-0.12228394541456067</v>
      </c>
      <c r="L8" t="s">
        <v>154</v>
      </c>
      <c r="N8" s="6">
        <f>(B8-C8)/C8</f>
        <v>-0.12228394541456067</v>
      </c>
    </row>
    <row r="9" spans="1:14" x14ac:dyDescent="0.3">
      <c r="A9" s="1" t="s">
        <v>40</v>
      </c>
      <c r="B9" s="73">
        <f>'Rebalanced Portfolio'!I69</f>
        <v>9.1190315394216848E-2</v>
      </c>
      <c r="C9" s="73">
        <f>'Non-Rebalanced Portfolio'!I69</f>
        <v>9.2927062761541945E-2</v>
      </c>
      <c r="D9" s="73">
        <f>'Panic Portfolio'!I69</f>
        <v>7.4610836429991778E-2</v>
      </c>
      <c r="F9" s="6">
        <f>(B9-D9)/D9</f>
        <v>0.22221274760512555</v>
      </c>
      <c r="G9" s="6">
        <f>(C9-D9)/D9</f>
        <v>0.24549016212593325</v>
      </c>
      <c r="H9" s="6">
        <f t="shared" si="0"/>
        <v>-1.8689360404963259E-2</v>
      </c>
      <c r="L9" t="s">
        <v>155</v>
      </c>
      <c r="N9" s="6">
        <f>B9-C9</f>
        <v>-1.7367473673250977E-3</v>
      </c>
    </row>
    <row r="10" spans="1:14" x14ac:dyDescent="0.3">
      <c r="A10" s="1" t="s">
        <v>86</v>
      </c>
      <c r="B10" s="71">
        <f>'Rebalanced Portfolio'!I70</f>
        <v>-204879.90248075011</v>
      </c>
      <c r="C10" s="71">
        <f>'Non-Rebalanced Portfolio'!I70</f>
        <v>-253424.28486101486</v>
      </c>
      <c r="D10" s="72">
        <f>'Panic Portfolio'!I70</f>
        <v>-183384.57444035582</v>
      </c>
      <c r="F10" s="2">
        <f>B10-D10</f>
        <v>-21495.328040394292</v>
      </c>
      <c r="G10" s="2">
        <f>C10-D10</f>
        <v>-70039.710420659045</v>
      </c>
      <c r="H10" s="2">
        <f>B10-C10</f>
        <v>48544.382380264753</v>
      </c>
    </row>
    <row r="11" spans="1:14" x14ac:dyDescent="0.3">
      <c r="A11" s="1" t="s">
        <v>41</v>
      </c>
      <c r="B11" s="6">
        <f>'Rebalanced Portfolio'!I71</f>
        <v>-0.26854558425405889</v>
      </c>
      <c r="C11" s="6">
        <f>'Non-Rebalanced Portfolio'!I71</f>
        <v>-0.32791221359865247</v>
      </c>
      <c r="D11" s="12">
        <f>'Panic Portfolio'!I71</f>
        <v>-0.30034917946642892</v>
      </c>
      <c r="F11" s="6">
        <f>(B11-D11)/D11</f>
        <v>-0.10588873679917886</v>
      </c>
      <c r="G11" s="6">
        <f>(C11-D11)/D11</f>
        <v>9.1769966480978418E-2</v>
      </c>
      <c r="H11" s="6">
        <f t="shared" si="0"/>
        <v>-0.18104427612829102</v>
      </c>
    </row>
    <row r="12" spans="1:14" x14ac:dyDescent="0.3">
      <c r="A12" s="1" t="s">
        <v>109</v>
      </c>
      <c r="B12" s="6">
        <f>SUM('Rebalanced Portfolio'!P65:U65)</f>
        <v>0.69933722679437316</v>
      </c>
      <c r="C12" s="6">
        <f>SUM('Non-Rebalanced Portfolio'!P65:U65)</f>
        <v>0.86025848984712083</v>
      </c>
      <c r="D12" s="12">
        <f>SUM('Panic Portfolio'!P65:U65)</f>
        <v>0.77647056022786176</v>
      </c>
    </row>
    <row r="13" spans="1:14" x14ac:dyDescent="0.3">
      <c r="A13" s="1" t="s">
        <v>110</v>
      </c>
      <c r="B13" s="6">
        <f>'Rebalanced Portfolio'!V65</f>
        <v>0.30066277320562673</v>
      </c>
      <c r="C13" s="6">
        <f>'Non-Rebalanced Portfolio'!V65</f>
        <v>0.13974151015287931</v>
      </c>
      <c r="D13" s="12">
        <f>'Panic Portfolio'!V65</f>
        <v>0.22352943977213846</v>
      </c>
    </row>
    <row r="14" spans="1:14" hidden="1" x14ac:dyDescent="0.3">
      <c r="A14" s="3" t="s">
        <v>111</v>
      </c>
      <c r="B14" s="59">
        <f>B12+B13</f>
        <v>0.99999999999999989</v>
      </c>
      <c r="C14" s="59">
        <f>C12+C13</f>
        <v>1.0000000000000002</v>
      </c>
      <c r="D14" s="59">
        <f>D12+D13</f>
        <v>1.0000000000000002</v>
      </c>
    </row>
    <row r="15" spans="1:14" x14ac:dyDescent="0.3">
      <c r="A15" s="1"/>
      <c r="B15" s="6"/>
      <c r="C15" s="6"/>
      <c r="F15" s="41"/>
      <c r="G15" s="41"/>
      <c r="H15" s="41"/>
    </row>
    <row r="16" spans="1:14" x14ac:dyDescent="0.3">
      <c r="A16" s="1"/>
      <c r="B16" s="6"/>
      <c r="C16" s="6"/>
      <c r="F16" s="6"/>
      <c r="G16" s="6"/>
      <c r="H16" s="6"/>
    </row>
    <row r="17" spans="1:14" x14ac:dyDescent="0.3">
      <c r="B17" s="6"/>
      <c r="C17" s="6"/>
      <c r="F17" s="6"/>
      <c r="G17" s="6"/>
      <c r="H17" s="6"/>
    </row>
    <row r="18" spans="1:14" x14ac:dyDescent="0.3">
      <c r="A18" s="68" t="s">
        <v>153</v>
      </c>
      <c r="F18" s="6"/>
      <c r="G18" s="6"/>
      <c r="H18" s="6"/>
    </row>
    <row r="19" spans="1:14" x14ac:dyDescent="0.3">
      <c r="F19" s="6"/>
      <c r="G19" s="6"/>
      <c r="H19" s="6"/>
    </row>
    <row r="20" spans="1:14" ht="43.2" x14ac:dyDescent="0.3">
      <c r="A20" t="s">
        <v>37</v>
      </c>
      <c r="B20" s="41" t="s">
        <v>38</v>
      </c>
      <c r="C20" s="41" t="s">
        <v>131</v>
      </c>
      <c r="D20" s="41" t="s">
        <v>118</v>
      </c>
      <c r="F20" s="41" t="s">
        <v>112</v>
      </c>
      <c r="G20" s="41" t="s">
        <v>113</v>
      </c>
      <c r="H20" s="41" t="s">
        <v>112</v>
      </c>
      <c r="J20" s="76" t="s">
        <v>112</v>
      </c>
      <c r="K20" s="76" t="s">
        <v>113</v>
      </c>
    </row>
    <row r="21" spans="1:14" x14ac:dyDescent="0.3">
      <c r="A21" s="9" t="s">
        <v>82</v>
      </c>
      <c r="B21" s="10">
        <f>'4% Withdrawals-Rebalanced'!I66</f>
        <v>569258.55887916544</v>
      </c>
      <c r="C21" s="10">
        <f>'4% Withdrawals-No Rebalancing'!I66</f>
        <v>625372.49896998354</v>
      </c>
      <c r="D21" s="10">
        <f>'4% Withdrawals-Panic'!I66</f>
        <v>356501.53571417031</v>
      </c>
      <c r="F21" s="6">
        <f>(B21-D21)/D21</f>
        <v>0.59679132304096383</v>
      </c>
      <c r="G21" s="6">
        <f>(C21-D21)/D21</f>
        <v>0.75419300148929502</v>
      </c>
      <c r="H21" s="6">
        <f>(B21-C21)/C21</f>
        <v>-8.9728825912940319E-2</v>
      </c>
      <c r="J21" s="40">
        <f>B21-D21</f>
        <v>212757.02316499513</v>
      </c>
      <c r="K21" s="40">
        <f>C21-D21</f>
        <v>268870.96325581323</v>
      </c>
    </row>
    <row r="22" spans="1:14" x14ac:dyDescent="0.3">
      <c r="A22" s="11" t="s">
        <v>39</v>
      </c>
      <c r="B22" s="43">
        <f>'4% Withdrawals-Rebalanced'!I67</f>
        <v>4.6925855887916548</v>
      </c>
      <c r="C22" s="43">
        <f>'4% Withdrawals-No Rebalancing'!I67</f>
        <v>5.253724989699835</v>
      </c>
      <c r="D22" s="43">
        <f>'4% Withdrawals-Panic'!I67</f>
        <v>2.5650153571417031</v>
      </c>
      <c r="F22" s="6">
        <f>(B22-D22)/D22</f>
        <v>0.82945711249884535</v>
      </c>
      <c r="G22" s="6">
        <f>(C22-D22)/D22</f>
        <v>1.0482236003273937</v>
      </c>
      <c r="H22" s="6">
        <f t="shared" ref="H22:H26" si="1">(B22-C22)/C22</f>
        <v>-0.10680791286341013</v>
      </c>
    </row>
    <row r="23" spans="1:14" x14ac:dyDescent="0.3">
      <c r="A23" s="1" t="s">
        <v>84</v>
      </c>
      <c r="B23" s="43">
        <f>'4% Withdrawals-Rebalanced'!I68</f>
        <v>0.11966923036575899</v>
      </c>
      <c r="C23" s="43">
        <f>'4% Withdrawals-No Rebalancing'!I68</f>
        <v>0.13590630551116678</v>
      </c>
      <c r="D23" s="43">
        <f>'4% Withdrawals-Panic'!I68</f>
        <v>0.11973078385182531</v>
      </c>
      <c r="F23" s="6">
        <f>(B23-D23)/D23</f>
        <v>-5.1409908200796982E-4</v>
      </c>
      <c r="G23" s="6">
        <f>(C23-D23)/D23</f>
        <v>0.13509910433192968</v>
      </c>
      <c r="H23" s="6">
        <f t="shared" si="1"/>
        <v>-0.11947256666522851</v>
      </c>
      <c r="L23" t="s">
        <v>154</v>
      </c>
      <c r="N23" s="6">
        <f>(B23-C23)/C23</f>
        <v>-0.11947256666522851</v>
      </c>
    </row>
    <row r="24" spans="1:14" x14ac:dyDescent="0.3">
      <c r="A24" s="1" t="s">
        <v>40</v>
      </c>
      <c r="B24" s="43">
        <f>'4% Withdrawals-Rebalanced'!I69</f>
        <v>6.4082600327482142E-2</v>
      </c>
      <c r="C24" s="43">
        <f>'4% Withdrawals-No Rebalancing'!I69</f>
        <v>6.7661366085239427E-2</v>
      </c>
      <c r="D24" s="43">
        <f>'4% Withdrawals-Panic'!I69</f>
        <v>4.6445172322548745E-2</v>
      </c>
      <c r="F24" s="6">
        <f>(B24-D24)/D24</f>
        <v>0.37974728315025702</v>
      </c>
      <c r="G24" s="6">
        <f>(C24-D24)/D24</f>
        <v>0.45680084068480026</v>
      </c>
      <c r="H24" s="6">
        <f t="shared" si="1"/>
        <v>-5.2892307158693412E-2</v>
      </c>
      <c r="L24" t="s">
        <v>155</v>
      </c>
      <c r="N24" s="6">
        <f>B24-C24</f>
        <v>-3.5787657577572851E-3</v>
      </c>
    </row>
    <row r="25" spans="1:14" x14ac:dyDescent="0.3">
      <c r="A25" s="1" t="s">
        <v>86</v>
      </c>
      <c r="B25" s="2">
        <f>'4% Withdrawals-Rebalanced'!I70</f>
        <v>-124994.99851504155</v>
      </c>
      <c r="C25" s="2">
        <f>'4% Withdrawals-No Rebalancing'!I70</f>
        <v>-155227.82329193619</v>
      </c>
      <c r="D25" s="44">
        <f>'4% Withdrawals-Panic'!I70</f>
        <v>-116982.23448932107</v>
      </c>
      <c r="F25" s="2">
        <f>B25-D25</f>
        <v>-8012.7640257204766</v>
      </c>
      <c r="G25" s="2">
        <f>C25-D25</f>
        <v>-38245.588802615122</v>
      </c>
      <c r="H25" s="2">
        <f>B25-C25</f>
        <v>30232.824776894646</v>
      </c>
    </row>
    <row r="26" spans="1:14" x14ac:dyDescent="0.3">
      <c r="A26" s="1" t="s">
        <v>41</v>
      </c>
      <c r="B26" s="6">
        <f>'4% Withdrawals-Rebalanced'!I71</f>
        <v>-0.28108754650214235</v>
      </c>
      <c r="C26" s="43">
        <f>'4% Withdrawals-No Rebalancing'!I71</f>
        <v>-0.33972311108440889</v>
      </c>
      <c r="D26" s="43">
        <f>'4% Withdrawals-Panic'!I71</f>
        <v>-0.31402566247390701</v>
      </c>
      <c r="F26" s="6">
        <f>(B26-D26)/D26</f>
        <v>-0.10488988610764112</v>
      </c>
      <c r="G26" s="6">
        <f>(C26-D26)/D26</f>
        <v>8.1832320352598992E-2</v>
      </c>
      <c r="H26" s="6">
        <f t="shared" si="1"/>
        <v>-0.17259810318791566</v>
      </c>
    </row>
    <row r="27" spans="1:14" x14ac:dyDescent="0.3">
      <c r="A27" s="1" t="s">
        <v>46</v>
      </c>
      <c r="B27" s="2">
        <f>'4% Withdrawals-Rebalanced'!I72</f>
        <v>194718.8452520174</v>
      </c>
      <c r="C27" s="2">
        <f>'4% Withdrawals-No Rebalancing'!I72</f>
        <v>194718.8452520174</v>
      </c>
      <c r="D27" s="44">
        <f>'4% Withdrawals-Panic'!I72</f>
        <v>194718.8452520174</v>
      </c>
      <c r="F27" s="2">
        <f>B27-D27</f>
        <v>0</v>
      </c>
      <c r="G27" s="2">
        <f>C27-D27</f>
        <v>0</v>
      </c>
      <c r="H27" s="2">
        <f>B27-C27</f>
        <v>0</v>
      </c>
    </row>
    <row r="28" spans="1:14" x14ac:dyDescent="0.3">
      <c r="A28" t="str">
        <f>A12</f>
        <v>Ending Equity Allocation</v>
      </c>
      <c r="B28" s="6">
        <f>SUM('4% Withdrawals-Rebalanced'!AH65:AM65)</f>
        <v>0.6937679501301468</v>
      </c>
      <c r="C28" s="6">
        <f>SUM('4% Withdrawals-No Rebalancing'!AG65:AL65)</f>
        <v>0.87114750126525475</v>
      </c>
      <c r="D28" s="12">
        <f>SUM('4% Withdrawals-Panic'!AH65:AM65)</f>
        <v>0.76748431666116579</v>
      </c>
      <c r="F28" s="7"/>
      <c r="G28" s="6"/>
      <c r="H28" s="7"/>
    </row>
    <row r="29" spans="1:14" x14ac:dyDescent="0.3">
      <c r="A29" t="str">
        <f t="shared" ref="A29:A30" si="2">A13</f>
        <v>Ending Fixed-Income Allocation</v>
      </c>
      <c r="B29" s="6">
        <f>'4% Withdrawals-Rebalanced'!AN65</f>
        <v>0.3062320498698532</v>
      </c>
      <c r="C29" s="6">
        <f>'4% Withdrawals-No Rebalancing'!AM65</f>
        <v>0.12885249873474519</v>
      </c>
      <c r="D29" s="12">
        <f>'4% Withdrawals-Panic'!AN65</f>
        <v>0.23251568333883427</v>
      </c>
    </row>
    <row r="30" spans="1:14" hidden="1" x14ac:dyDescent="0.3">
      <c r="A30" s="3" t="str">
        <f t="shared" si="2"/>
        <v>Allocation Check</v>
      </c>
      <c r="B30" s="69">
        <f>SUM(B28:B29)</f>
        <v>1</v>
      </c>
      <c r="C30" s="69">
        <f>SUM(C28:C29)</f>
        <v>1</v>
      </c>
      <c r="D30" s="69">
        <f>SUM(D28:D29)</f>
        <v>1</v>
      </c>
    </row>
  </sheetData>
  <phoneticPr fontId="12" type="noConversion"/>
  <pageMargins left="0.45" right="0.45" top="0.5" bottom="0.5" header="0.3" footer="0.3"/>
  <pageSetup orientation="landscape" r:id="rId1"/>
  <headerFooter>
    <oddFooter>&amp;A</oddFooter>
  </headerFooter>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6"/>
  <sheetViews>
    <sheetView topLeftCell="K34" workbookViewId="0">
      <selection activeCell="R67" sqref="R67"/>
    </sheetView>
  </sheetViews>
  <sheetFormatPr defaultColWidth="8.88671875" defaultRowHeight="14.4" x14ac:dyDescent="0.3"/>
  <cols>
    <col min="1" max="1" width="25.44140625" customWidth="1"/>
    <col min="2" max="4" width="9.33203125" bestFit="1" customWidth="1"/>
    <col min="5" max="5" width="9.5546875" bestFit="1" customWidth="1"/>
    <col min="7" max="7" width="9.88671875" bestFit="1" customWidth="1"/>
    <col min="8" max="8" width="9.33203125" bestFit="1" customWidth="1"/>
    <col min="9" max="9" width="11.6640625" customWidth="1"/>
    <col min="10" max="10" width="10" bestFit="1" customWidth="1"/>
  </cols>
  <sheetData>
    <row r="1" spans="1:8" x14ac:dyDescent="0.3">
      <c r="A1" s="20" t="s">
        <v>53</v>
      </c>
    </row>
    <row r="2" spans="1:8" x14ac:dyDescent="0.3">
      <c r="A2" s="14"/>
      <c r="B2" s="14" t="s">
        <v>54</v>
      </c>
      <c r="C2" s="14" t="s">
        <v>55</v>
      </c>
      <c r="D2" s="14" t="s">
        <v>56</v>
      </c>
      <c r="E2" s="14" t="s">
        <v>57</v>
      </c>
      <c r="F2" s="14" t="s">
        <v>64</v>
      </c>
      <c r="G2" s="14" t="s">
        <v>66</v>
      </c>
      <c r="H2" s="14" t="s">
        <v>67</v>
      </c>
    </row>
    <row r="3" spans="1:8" x14ac:dyDescent="0.3">
      <c r="A3" s="14" t="s">
        <v>52</v>
      </c>
      <c r="B3" s="14" t="s">
        <v>58</v>
      </c>
      <c r="C3" s="14" t="s">
        <v>59</v>
      </c>
      <c r="D3" s="14" t="s">
        <v>60</v>
      </c>
      <c r="E3" s="14" t="s">
        <v>61</v>
      </c>
      <c r="F3" s="14" t="s">
        <v>65</v>
      </c>
      <c r="G3" s="14" t="s">
        <v>68</v>
      </c>
      <c r="H3" s="14" t="s">
        <v>69</v>
      </c>
    </row>
    <row r="4" spans="1:8" x14ac:dyDescent="0.3">
      <c r="A4" s="14">
        <v>1988</v>
      </c>
      <c r="B4" s="14">
        <v>16.22</v>
      </c>
      <c r="C4" s="14">
        <v>19.747</v>
      </c>
      <c r="D4" s="14"/>
      <c r="E4" s="14"/>
      <c r="F4" s="14">
        <v>18.777999999999999</v>
      </c>
      <c r="G4" s="14"/>
      <c r="H4" s="14">
        <v>7.35</v>
      </c>
    </row>
    <row r="5" spans="1:8" x14ac:dyDescent="0.3">
      <c r="A5" s="14">
        <v>1989</v>
      </c>
      <c r="B5" s="14">
        <v>31.36</v>
      </c>
      <c r="C5" s="14">
        <v>24.096</v>
      </c>
      <c r="D5" s="14"/>
      <c r="E5" s="14"/>
      <c r="F5" s="14">
        <v>25.971</v>
      </c>
      <c r="G5" s="14"/>
      <c r="H5" s="14">
        <v>13.64</v>
      </c>
    </row>
    <row r="6" spans="1:8" x14ac:dyDescent="0.3">
      <c r="A6" s="14">
        <v>1990</v>
      </c>
      <c r="B6" s="14">
        <v>-3.32</v>
      </c>
      <c r="C6" s="14">
        <v>-14.045</v>
      </c>
      <c r="D6" s="14"/>
      <c r="E6" s="14"/>
      <c r="F6" s="14">
        <v>-12.26</v>
      </c>
      <c r="G6" s="14"/>
      <c r="H6" s="14">
        <v>8.65</v>
      </c>
    </row>
    <row r="7" spans="1:8" x14ac:dyDescent="0.3">
      <c r="A7" s="14">
        <v>1991</v>
      </c>
      <c r="B7" s="14">
        <v>30.22</v>
      </c>
      <c r="C7" s="14">
        <v>41.85</v>
      </c>
      <c r="D7" s="14"/>
      <c r="E7" s="14"/>
      <c r="F7" s="14">
        <v>9.9559999999999995</v>
      </c>
      <c r="G7" s="14"/>
      <c r="H7" s="14">
        <v>15.25</v>
      </c>
    </row>
    <row r="8" spans="1:8" x14ac:dyDescent="0.3">
      <c r="A8" s="14">
        <v>1992</v>
      </c>
      <c r="B8" s="14">
        <v>7.42</v>
      </c>
      <c r="C8" s="14">
        <v>12.465999999999999</v>
      </c>
      <c r="D8" s="14"/>
      <c r="E8" s="14"/>
      <c r="F8" s="14">
        <v>-8.7210000000000001</v>
      </c>
      <c r="G8" s="14"/>
      <c r="H8" s="14">
        <v>7.14</v>
      </c>
    </row>
    <row r="9" spans="1:8" x14ac:dyDescent="0.3">
      <c r="A9" s="14">
        <v>1993</v>
      </c>
      <c r="B9" s="14">
        <v>9.89</v>
      </c>
      <c r="C9" s="14">
        <v>14.49</v>
      </c>
      <c r="D9" s="14"/>
      <c r="E9" s="14"/>
      <c r="F9" s="14">
        <v>30.494</v>
      </c>
      <c r="G9" s="14"/>
      <c r="H9" s="14">
        <v>9.68</v>
      </c>
    </row>
    <row r="10" spans="1:8" x14ac:dyDescent="0.3">
      <c r="A10" s="14">
        <v>1994</v>
      </c>
      <c r="B10" s="14">
        <v>1.18</v>
      </c>
      <c r="C10" s="14">
        <v>-1.764</v>
      </c>
      <c r="D10" s="14"/>
      <c r="E10" s="14"/>
      <c r="F10" s="14">
        <v>5.2549999999999999</v>
      </c>
      <c r="G10" s="14"/>
      <c r="H10" s="14">
        <v>-2.66</v>
      </c>
    </row>
    <row r="11" spans="1:8" x14ac:dyDescent="0.3">
      <c r="A11" s="14">
        <v>1995</v>
      </c>
      <c r="B11" s="14">
        <v>37.450000000000003</v>
      </c>
      <c r="C11" s="14">
        <v>33.796999999999997</v>
      </c>
      <c r="D11" s="14"/>
      <c r="E11" s="14"/>
      <c r="F11" s="14">
        <v>9.6460000000000008</v>
      </c>
      <c r="G11" s="14"/>
      <c r="H11" s="14">
        <v>18.18</v>
      </c>
    </row>
    <row r="12" spans="1:8" x14ac:dyDescent="0.3">
      <c r="A12" s="14">
        <v>1996</v>
      </c>
      <c r="B12" s="14">
        <v>22.88</v>
      </c>
      <c r="C12" s="14">
        <v>17.646999999999998</v>
      </c>
      <c r="D12" s="14"/>
      <c r="E12" s="14"/>
      <c r="F12" s="14">
        <v>10.218999999999999</v>
      </c>
      <c r="G12" s="14"/>
      <c r="H12" s="14">
        <v>3.58</v>
      </c>
    </row>
    <row r="13" spans="1:8" x14ac:dyDescent="0.3">
      <c r="A13" s="14">
        <v>1997</v>
      </c>
      <c r="B13" s="14">
        <v>33.19</v>
      </c>
      <c r="C13" s="14">
        <v>26.687000000000001</v>
      </c>
      <c r="D13" s="14"/>
      <c r="E13" s="14"/>
      <c r="F13" s="14"/>
      <c r="G13" s="16">
        <v>-0.77500000000000002</v>
      </c>
      <c r="H13" s="14">
        <v>9.44</v>
      </c>
    </row>
    <row r="14" spans="1:8" x14ac:dyDescent="0.3">
      <c r="A14" s="14">
        <v>1998</v>
      </c>
      <c r="B14" s="14">
        <v>28.66</v>
      </c>
      <c r="C14" s="14">
        <v>8.3529999999999998</v>
      </c>
      <c r="D14" s="14"/>
      <c r="E14" s="14"/>
      <c r="F14" s="14"/>
      <c r="G14" s="14">
        <v>15.603</v>
      </c>
      <c r="H14" s="14">
        <v>8.58</v>
      </c>
    </row>
    <row r="15" spans="1:8" x14ac:dyDescent="0.3">
      <c r="A15" s="14">
        <v>1999</v>
      </c>
      <c r="B15" s="14">
        <v>21.07</v>
      </c>
      <c r="C15" s="14"/>
      <c r="D15" s="16">
        <v>15.319000000000001</v>
      </c>
      <c r="E15" s="16">
        <v>23.132999999999999</v>
      </c>
      <c r="F15" s="14"/>
      <c r="G15" s="14">
        <v>29.919</v>
      </c>
      <c r="H15" s="14">
        <v>-0.76</v>
      </c>
    </row>
    <row r="16" spans="1:8" x14ac:dyDescent="0.3">
      <c r="A16" s="14">
        <v>2000</v>
      </c>
      <c r="B16" s="14">
        <v>-9.06</v>
      </c>
      <c r="C16" s="14"/>
      <c r="D16" s="14">
        <v>18.097999999999999</v>
      </c>
      <c r="E16" s="14">
        <v>-2.665</v>
      </c>
      <c r="F16" s="14"/>
      <c r="G16" s="14">
        <v>-15.614000000000001</v>
      </c>
      <c r="H16" s="14">
        <v>11.39</v>
      </c>
    </row>
    <row r="17" spans="1:8" x14ac:dyDescent="0.3">
      <c r="A17" s="14">
        <v>2001</v>
      </c>
      <c r="B17" s="14">
        <v>-12.02</v>
      </c>
      <c r="C17" s="14"/>
      <c r="D17" s="14">
        <v>-0.499</v>
      </c>
      <c r="E17" s="14">
        <v>3.1</v>
      </c>
      <c r="F17" s="14"/>
      <c r="G17" s="14">
        <v>-20.152999999999999</v>
      </c>
      <c r="H17" s="14">
        <v>8.43</v>
      </c>
    </row>
    <row r="18" spans="1:8" x14ac:dyDescent="0.3">
      <c r="A18" s="14">
        <v>2002</v>
      </c>
      <c r="B18" s="14">
        <v>-22.15</v>
      </c>
      <c r="C18" s="14"/>
      <c r="D18" s="14">
        <v>-14.608000000000001</v>
      </c>
      <c r="E18" s="14">
        <v>-20.021999999999998</v>
      </c>
      <c r="F18" s="14"/>
      <c r="G18" s="14">
        <v>-15.083</v>
      </c>
      <c r="H18" s="14">
        <v>8.26</v>
      </c>
    </row>
    <row r="19" spans="1:8" x14ac:dyDescent="0.3">
      <c r="A19" s="14">
        <v>2003</v>
      </c>
      <c r="B19" s="14">
        <v>28.5</v>
      </c>
      <c r="C19" s="14"/>
      <c r="D19" s="14">
        <v>34.142000000000003</v>
      </c>
      <c r="E19" s="14">
        <v>45.628</v>
      </c>
      <c r="F19" s="14"/>
      <c r="G19" s="14">
        <v>40.340000000000003</v>
      </c>
      <c r="H19" s="14">
        <v>3.97</v>
      </c>
    </row>
    <row r="20" spans="1:8" x14ac:dyDescent="0.3">
      <c r="A20" s="14">
        <v>2004</v>
      </c>
      <c r="B20" s="14">
        <v>10.74</v>
      </c>
      <c r="C20" s="14"/>
      <c r="D20" s="14">
        <v>20.353000000000002</v>
      </c>
      <c r="E20" s="14">
        <v>19.896999999999998</v>
      </c>
      <c r="F20" s="14"/>
      <c r="G20" s="14">
        <v>20.837</v>
      </c>
      <c r="H20" s="14">
        <v>4.24</v>
      </c>
    </row>
    <row r="21" spans="1:8" x14ac:dyDescent="0.3">
      <c r="A21" s="14">
        <v>2005</v>
      </c>
      <c r="B21" s="14">
        <v>4.7699999999999996</v>
      </c>
      <c r="C21" s="14"/>
      <c r="D21" s="14">
        <v>13.930999999999999</v>
      </c>
      <c r="E21" s="14">
        <v>7.3630000000000004</v>
      </c>
      <c r="F21" s="14"/>
      <c r="G21" s="14">
        <v>15.571</v>
      </c>
      <c r="H21" s="14">
        <v>2.4</v>
      </c>
    </row>
    <row r="22" spans="1:8" x14ac:dyDescent="0.3">
      <c r="A22" s="14">
        <v>2006</v>
      </c>
      <c r="B22" s="14">
        <v>15.64</v>
      </c>
      <c r="C22" s="14"/>
      <c r="D22" s="14">
        <v>13.597</v>
      </c>
      <c r="E22" s="14">
        <v>15.656000000000001</v>
      </c>
      <c r="F22" s="14"/>
      <c r="G22" s="14">
        <v>26.637</v>
      </c>
      <c r="H22" s="14">
        <v>4.2699999999999996</v>
      </c>
    </row>
    <row r="23" spans="1:8" x14ac:dyDescent="0.3">
      <c r="A23" s="14">
        <v>2007</v>
      </c>
      <c r="B23" s="14">
        <v>5.39</v>
      </c>
      <c r="C23" s="14"/>
      <c r="D23" s="14">
        <v>6.0209999999999999</v>
      </c>
      <c r="E23" s="14">
        <v>1.1559999999999999</v>
      </c>
      <c r="F23" s="14"/>
      <c r="G23" s="14">
        <v>15.522</v>
      </c>
      <c r="H23" s="14">
        <v>6.92</v>
      </c>
    </row>
    <row r="24" spans="1:8" x14ac:dyDescent="0.3">
      <c r="A24" s="14">
        <v>2008</v>
      </c>
      <c r="B24" s="14">
        <v>-37.020000000000003</v>
      </c>
      <c r="C24" s="14"/>
      <c r="D24" s="14">
        <v>-41.823999999999998</v>
      </c>
      <c r="E24" s="14">
        <v>-36.07</v>
      </c>
      <c r="F24" s="14"/>
      <c r="G24" s="14">
        <v>-44.100999999999999</v>
      </c>
      <c r="H24" s="14">
        <v>5.05</v>
      </c>
    </row>
    <row r="25" spans="1:8" x14ac:dyDescent="0.3">
      <c r="A25" s="14">
        <v>2009</v>
      </c>
      <c r="B25" s="14">
        <v>26.49</v>
      </c>
      <c r="C25" s="14"/>
      <c r="D25" s="14">
        <v>40.218000000000004</v>
      </c>
      <c r="E25" s="14">
        <v>36.118000000000002</v>
      </c>
      <c r="F25" s="14"/>
      <c r="G25" s="14">
        <v>36.726999999999997</v>
      </c>
      <c r="H25" s="14">
        <v>5.93</v>
      </c>
    </row>
    <row r="26" spans="1:8" x14ac:dyDescent="0.3">
      <c r="A26" s="14">
        <v>2010</v>
      </c>
      <c r="B26" s="14">
        <v>14.91</v>
      </c>
      <c r="C26" s="14"/>
      <c r="D26" s="14">
        <v>25.46</v>
      </c>
      <c r="E26" s="14">
        <v>27.72</v>
      </c>
      <c r="F26" s="14"/>
      <c r="G26" s="14">
        <v>11.12</v>
      </c>
      <c r="H26" s="14">
        <v>6.42</v>
      </c>
    </row>
    <row r="27" spans="1:8" x14ac:dyDescent="0.3">
      <c r="A27" s="14">
        <v>2011</v>
      </c>
      <c r="B27" s="14">
        <v>1.97</v>
      </c>
      <c r="C27" s="14"/>
      <c r="D27" s="14">
        <v>-2.11</v>
      </c>
      <c r="E27" s="15">
        <v>-2.8</v>
      </c>
      <c r="F27" s="14"/>
      <c r="G27" s="14">
        <v>-14.56</v>
      </c>
      <c r="H27" s="14">
        <v>7.56</v>
      </c>
    </row>
    <row r="28" spans="1:8" x14ac:dyDescent="0.3">
      <c r="A28" s="14">
        <v>2012</v>
      </c>
      <c r="B28" s="15">
        <v>15.82</v>
      </c>
      <c r="C28" s="15"/>
      <c r="D28" s="15">
        <v>15.8</v>
      </c>
      <c r="E28" s="15">
        <v>18.04</v>
      </c>
      <c r="F28" s="15"/>
      <c r="G28" s="15">
        <v>18.14</v>
      </c>
      <c r="H28" s="15">
        <v>4.05</v>
      </c>
    </row>
    <row r="29" spans="1:8" x14ac:dyDescent="0.3">
      <c r="A29" s="14">
        <v>2013</v>
      </c>
      <c r="B29" s="15">
        <v>32.18</v>
      </c>
      <c r="C29" s="15"/>
      <c r="D29" s="15">
        <v>35</v>
      </c>
      <c r="E29" s="15">
        <v>37.619999999999997</v>
      </c>
      <c r="F29" s="15"/>
      <c r="G29" s="15">
        <v>15.04</v>
      </c>
      <c r="H29" s="15">
        <v>-2.2599999999999998</v>
      </c>
    </row>
    <row r="30" spans="1:8" x14ac:dyDescent="0.3">
      <c r="A30" s="14">
        <v>2014</v>
      </c>
      <c r="B30" s="15">
        <v>13.51</v>
      </c>
      <c r="C30" s="15"/>
      <c r="D30" s="15">
        <v>13.6</v>
      </c>
      <c r="E30" s="15">
        <v>7.37</v>
      </c>
      <c r="F30" s="15"/>
      <c r="G30" s="15">
        <v>-4.24</v>
      </c>
      <c r="H30" s="15">
        <v>5.76</v>
      </c>
    </row>
    <row r="31" spans="1:8" x14ac:dyDescent="0.3">
      <c r="A31" s="14">
        <v>2015</v>
      </c>
      <c r="B31" s="15">
        <v>1.25</v>
      </c>
      <c r="C31" s="15"/>
      <c r="D31" s="15">
        <v>-1.46</v>
      </c>
      <c r="E31" s="15">
        <v>-3.78</v>
      </c>
      <c r="F31" s="15"/>
      <c r="G31" s="15">
        <v>-4.37</v>
      </c>
      <c r="H31" s="15">
        <v>0.3</v>
      </c>
    </row>
    <row r="34" spans="1:25" x14ac:dyDescent="0.3">
      <c r="A34" s="20" t="s">
        <v>127</v>
      </c>
      <c r="O34" s="20" t="s">
        <v>134</v>
      </c>
    </row>
    <row r="35" spans="1:25" x14ac:dyDescent="0.3">
      <c r="B35" s="4" t="str">
        <f t="shared" ref="B35:H36" si="0">B2</f>
        <v>LC Stocks</v>
      </c>
      <c r="C35" s="4" t="str">
        <f t="shared" si="0"/>
        <v>Ext Mkt</v>
      </c>
      <c r="D35" s="4" t="str">
        <f t="shared" si="0"/>
        <v>Mcap Stk</v>
      </c>
      <c r="E35" s="4" t="str">
        <f t="shared" si="0"/>
        <v>Small Cap</v>
      </c>
      <c r="F35" s="4" t="str">
        <f t="shared" si="0"/>
        <v>Intl Val</v>
      </c>
      <c r="G35" s="4" t="str">
        <f t="shared" si="0"/>
        <v>Tot Int Stk</v>
      </c>
      <c r="H35" s="4" t="str">
        <f t="shared" si="0"/>
        <v>Bonds</v>
      </c>
      <c r="I35" s="5"/>
      <c r="J35" s="5" t="s">
        <v>80</v>
      </c>
      <c r="K35" s="5" t="s">
        <v>77</v>
      </c>
      <c r="L35" s="5" t="s">
        <v>78</v>
      </c>
      <c r="P35" s="4" t="str">
        <f>B35</f>
        <v>LC Stocks</v>
      </c>
      <c r="Q35" s="4" t="str">
        <f t="shared" ref="Q35:V36" si="1">C35</f>
        <v>Ext Mkt</v>
      </c>
      <c r="R35" s="4" t="str">
        <f t="shared" si="1"/>
        <v>Mcap Stk</v>
      </c>
      <c r="S35" s="4" t="str">
        <f t="shared" si="1"/>
        <v>Small Cap</v>
      </c>
      <c r="T35" s="4" t="str">
        <f t="shared" si="1"/>
        <v>Intl Val</v>
      </c>
      <c r="U35" s="4" t="str">
        <f t="shared" si="1"/>
        <v>Tot Int Stk</v>
      </c>
      <c r="V35" s="4" t="str">
        <f t="shared" si="1"/>
        <v>Bonds</v>
      </c>
      <c r="W35" s="5"/>
      <c r="X35" s="5" t="s">
        <v>115</v>
      </c>
      <c r="Y35" s="3" t="s">
        <v>116</v>
      </c>
    </row>
    <row r="36" spans="1:25" x14ac:dyDescent="0.3">
      <c r="A36" t="s">
        <v>76</v>
      </c>
      <c r="B36" s="4" t="str">
        <f t="shared" si="0"/>
        <v>VFINX</v>
      </c>
      <c r="C36" s="4" t="str">
        <f t="shared" si="0"/>
        <v>VEXMX</v>
      </c>
      <c r="D36" s="4" t="str">
        <f t="shared" si="0"/>
        <v>VIMSX</v>
      </c>
      <c r="E36" s="4" t="str">
        <f t="shared" si="0"/>
        <v>NAESX</v>
      </c>
      <c r="F36" s="4" t="str">
        <f t="shared" si="0"/>
        <v>VTRIX</v>
      </c>
      <c r="G36" s="4" t="str">
        <f t="shared" si="0"/>
        <v>VGTSX</v>
      </c>
      <c r="H36" s="4" t="str">
        <f t="shared" si="0"/>
        <v>VBMFX</v>
      </c>
      <c r="I36" s="5" t="s">
        <v>74</v>
      </c>
      <c r="J36" s="5" t="s">
        <v>81</v>
      </c>
      <c r="K36" s="5" t="s">
        <v>79</v>
      </c>
      <c r="L36" s="5" t="s">
        <v>79</v>
      </c>
      <c r="O36" t="s">
        <v>76</v>
      </c>
      <c r="P36" s="4" t="str">
        <f>B36</f>
        <v>VFINX</v>
      </c>
      <c r="Q36" s="4" t="str">
        <f t="shared" si="1"/>
        <v>VEXMX</v>
      </c>
      <c r="R36" s="4" t="str">
        <f t="shared" si="1"/>
        <v>VIMSX</v>
      </c>
      <c r="S36" s="4" t="str">
        <f t="shared" si="1"/>
        <v>NAESX</v>
      </c>
      <c r="T36" s="4" t="str">
        <f t="shared" si="1"/>
        <v>VTRIX</v>
      </c>
      <c r="U36" s="4" t="str">
        <f t="shared" si="1"/>
        <v>VGTSX</v>
      </c>
      <c r="V36" s="4" t="str">
        <f t="shared" si="1"/>
        <v>VBMFX</v>
      </c>
      <c r="W36" s="5" t="s">
        <v>74</v>
      </c>
      <c r="X36" s="5" t="s">
        <v>116</v>
      </c>
      <c r="Y36" s="3" t="s">
        <v>91</v>
      </c>
    </row>
    <row r="37" spans="1:25" x14ac:dyDescent="0.3">
      <c r="A37" t="s">
        <v>75</v>
      </c>
      <c r="B37" s="31">
        <v>20000</v>
      </c>
      <c r="C37" s="31">
        <v>30000</v>
      </c>
      <c r="F37" s="31">
        <v>20000</v>
      </c>
      <c r="H37" s="31">
        <v>30000</v>
      </c>
      <c r="I37" s="2">
        <f>SUM(B37:H37)</f>
        <v>100000</v>
      </c>
      <c r="O37" s="21" t="s">
        <v>90</v>
      </c>
      <c r="P37" s="22">
        <f>B37/$I37</f>
        <v>0.2</v>
      </c>
      <c r="Q37" s="22">
        <f>C37/$I37</f>
        <v>0.3</v>
      </c>
      <c r="R37" s="23">
        <v>0.2</v>
      </c>
      <c r="S37" s="23">
        <v>0.1</v>
      </c>
      <c r="T37" s="22">
        <f>F37/$I37</f>
        <v>0.2</v>
      </c>
      <c r="U37" s="23">
        <v>0.2</v>
      </c>
      <c r="V37" s="22">
        <f>H37/$I37</f>
        <v>0.3</v>
      </c>
      <c r="W37" s="6">
        <f>I37/$I37</f>
        <v>1</v>
      </c>
      <c r="X37" s="24"/>
    </row>
    <row r="38" spans="1:25" x14ac:dyDescent="0.3">
      <c r="A38">
        <f t="shared" ref="A38:A65" si="2">A4</f>
        <v>1988</v>
      </c>
      <c r="B38" s="2">
        <f t="shared" ref="B38:B48" si="3">B37*(1+(B4/100))</f>
        <v>23243.999999999996</v>
      </c>
      <c r="C38" s="2">
        <f t="shared" ref="C38:C48" si="4">C37*(1+(C4/100))</f>
        <v>35924.1</v>
      </c>
      <c r="D38" s="2"/>
      <c r="E38" s="2"/>
      <c r="F38" s="2">
        <f t="shared" ref="F38:F46" si="5">F37*(1+(F4/100))</f>
        <v>23755.600000000002</v>
      </c>
      <c r="G38" s="2"/>
      <c r="H38" s="2">
        <f t="shared" ref="H38:H65" si="6">H37*(1+(H4/100))</f>
        <v>32204.999999999996</v>
      </c>
      <c r="I38" s="2">
        <f>SUM(B38:H38)</f>
        <v>115128.7</v>
      </c>
      <c r="J38" s="2">
        <f>I38-I37</f>
        <v>15128.699999999997</v>
      </c>
      <c r="K38" s="6">
        <f>(J38/I37)</f>
        <v>0.15128699999999998</v>
      </c>
      <c r="L38" s="7">
        <f>K38+1</f>
        <v>1.1512869999999999</v>
      </c>
      <c r="O38">
        <f>A38</f>
        <v>1988</v>
      </c>
      <c r="P38" s="6">
        <f t="shared" ref="P38:U64" si="7">B38/$I38</f>
        <v>0.2018957914056182</v>
      </c>
      <c r="Q38" s="6">
        <f t="shared" si="7"/>
        <v>0.31203427121126182</v>
      </c>
      <c r="R38" s="7"/>
      <c r="S38" s="7"/>
      <c r="T38" s="6">
        <f t="shared" ref="T38:T46" si="8">F38/$I38</f>
        <v>0.20633951395264608</v>
      </c>
      <c r="U38" s="7"/>
      <c r="V38" s="6">
        <f t="shared" ref="V38:V64" si="9">H38/$I38</f>
        <v>0.27973042343047388</v>
      </c>
      <c r="W38" s="6">
        <f>SUM(P38:V38)</f>
        <v>1</v>
      </c>
      <c r="X38" s="7">
        <f>SUM(P38:U38)</f>
        <v>0.72026957656952606</v>
      </c>
      <c r="Y38" s="7">
        <f>W38-(X38+V38)</f>
        <v>0</v>
      </c>
    </row>
    <row r="39" spans="1:25" x14ac:dyDescent="0.3">
      <c r="A39">
        <f t="shared" si="2"/>
        <v>1989</v>
      </c>
      <c r="B39" s="2">
        <f t="shared" si="3"/>
        <v>30533.318399999996</v>
      </c>
      <c r="C39" s="2">
        <f t="shared" si="4"/>
        <v>44580.371136000002</v>
      </c>
      <c r="D39" s="2"/>
      <c r="E39" s="2"/>
      <c r="F39" s="2">
        <f t="shared" si="5"/>
        <v>29925.166876000007</v>
      </c>
      <c r="G39" s="2"/>
      <c r="H39" s="2">
        <f t="shared" si="6"/>
        <v>36597.761999999995</v>
      </c>
      <c r="I39" s="2">
        <f t="shared" ref="I39:I46" si="10">SUM(B39:H39)</f>
        <v>141636.61841199998</v>
      </c>
      <c r="J39" s="2">
        <f t="shared" ref="J39:J65" si="11">I39-I38</f>
        <v>26507.918411999985</v>
      </c>
      <c r="K39" s="6">
        <f t="shared" ref="K39:K46" si="12">(J39/I38)</f>
        <v>0.23024596310042575</v>
      </c>
      <c r="L39" s="7">
        <f t="shared" ref="L39:L64" si="13">K39+1</f>
        <v>1.2302459631004257</v>
      </c>
      <c r="O39">
        <f t="shared" ref="O39:O64" si="14">A39</f>
        <v>1989</v>
      </c>
      <c r="P39" s="6">
        <f t="shared" si="7"/>
        <v>0.2155750309653898</v>
      </c>
      <c r="Q39" s="6">
        <f t="shared" si="7"/>
        <v>0.314751733244028</v>
      </c>
      <c r="R39" s="7"/>
      <c r="S39" s="7"/>
      <c r="T39" s="6">
        <f t="shared" si="8"/>
        <v>0.21128128595214071</v>
      </c>
      <c r="U39" s="7"/>
      <c r="V39" s="6">
        <f t="shared" si="9"/>
        <v>0.2583919498384416</v>
      </c>
      <c r="W39" s="6">
        <f t="shared" ref="W39:W64" si="15">SUM(P39:V39)</f>
        <v>1</v>
      </c>
      <c r="X39" s="7">
        <f t="shared" ref="X39:X64" si="16">SUM(P39:U39)</f>
        <v>0.74160805016155851</v>
      </c>
      <c r="Y39" s="7">
        <f t="shared" ref="Y39:Y64" si="17">W39-(X39+V39)</f>
        <v>0</v>
      </c>
    </row>
    <row r="40" spans="1:25" x14ac:dyDescent="0.3">
      <c r="A40">
        <f t="shared" si="2"/>
        <v>1990</v>
      </c>
      <c r="B40" s="2">
        <f t="shared" si="3"/>
        <v>29519.612229119997</v>
      </c>
      <c r="C40" s="2">
        <f t="shared" si="4"/>
        <v>38319.0580099488</v>
      </c>
      <c r="D40" s="2"/>
      <c r="E40" s="2"/>
      <c r="F40" s="2">
        <f t="shared" si="5"/>
        <v>26256.341417002404</v>
      </c>
      <c r="G40" s="2"/>
      <c r="H40" s="2">
        <f t="shared" si="6"/>
        <v>39763.468412999995</v>
      </c>
      <c r="I40" s="2">
        <f t="shared" si="10"/>
        <v>133858.4800690712</v>
      </c>
      <c r="J40" s="2">
        <f t="shared" si="11"/>
        <v>-7778.1383429287816</v>
      </c>
      <c r="K40" s="6">
        <f t="shared" si="12"/>
        <v>-5.4916153958881789E-2</v>
      </c>
      <c r="L40" s="7">
        <f t="shared" si="13"/>
        <v>0.94508384604111817</v>
      </c>
      <c r="O40">
        <f t="shared" si="14"/>
        <v>1990</v>
      </c>
      <c r="P40" s="6">
        <f t="shared" si="7"/>
        <v>0.22052851798322995</v>
      </c>
      <c r="Q40" s="6">
        <f t="shared" si="7"/>
        <v>0.28626544982563751</v>
      </c>
      <c r="R40" s="7"/>
      <c r="S40" s="7"/>
      <c r="T40" s="6">
        <f t="shared" si="8"/>
        <v>0.19615000411967989</v>
      </c>
      <c r="U40" s="7"/>
      <c r="V40" s="6">
        <f t="shared" si="9"/>
        <v>0.29705602807145259</v>
      </c>
      <c r="W40" s="6">
        <f t="shared" si="15"/>
        <v>0.99999999999999989</v>
      </c>
      <c r="X40" s="7">
        <f t="shared" si="16"/>
        <v>0.7029439719285473</v>
      </c>
      <c r="Y40" s="7">
        <f t="shared" si="17"/>
        <v>0</v>
      </c>
    </row>
    <row r="41" spans="1:25" x14ac:dyDescent="0.3">
      <c r="A41">
        <f t="shared" si="2"/>
        <v>1991</v>
      </c>
      <c r="B41" s="2">
        <f t="shared" si="3"/>
        <v>38440.43904476006</v>
      </c>
      <c r="C41" s="2">
        <f t="shared" si="4"/>
        <v>54355.583787112373</v>
      </c>
      <c r="D41" s="2"/>
      <c r="E41" s="2"/>
      <c r="F41" s="2">
        <f t="shared" si="5"/>
        <v>28870.422768479166</v>
      </c>
      <c r="G41" s="2"/>
      <c r="H41" s="2">
        <f t="shared" si="6"/>
        <v>45827.397345982499</v>
      </c>
      <c r="I41" s="2">
        <f t="shared" si="10"/>
        <v>167493.8429463341</v>
      </c>
      <c r="J41" s="2">
        <f t="shared" si="11"/>
        <v>33635.362877262902</v>
      </c>
      <c r="K41" s="6">
        <f t="shared" si="12"/>
        <v>0.25127554757761328</v>
      </c>
      <c r="L41" s="7">
        <f t="shared" si="13"/>
        <v>1.2512755475776132</v>
      </c>
      <c r="O41">
        <f t="shared" si="14"/>
        <v>1991</v>
      </c>
      <c r="P41" s="6">
        <f t="shared" si="7"/>
        <v>0.22950359469080053</v>
      </c>
      <c r="Q41" s="6">
        <f t="shared" si="7"/>
        <v>0.32452287696645771</v>
      </c>
      <c r="R41" s="7"/>
      <c r="S41" s="7"/>
      <c r="T41" s="6">
        <f t="shared" si="8"/>
        <v>0.1723670689061054</v>
      </c>
      <c r="U41" s="7"/>
      <c r="V41" s="6">
        <f t="shared" si="9"/>
        <v>0.27360645943663636</v>
      </c>
      <c r="W41" s="6">
        <f t="shared" si="15"/>
        <v>1</v>
      </c>
      <c r="X41" s="7">
        <f t="shared" si="16"/>
        <v>0.72639354056336369</v>
      </c>
      <c r="Y41" s="7">
        <f t="shared" si="17"/>
        <v>0</v>
      </c>
    </row>
    <row r="42" spans="1:25" x14ac:dyDescent="0.3">
      <c r="A42">
        <f t="shared" si="2"/>
        <v>1992</v>
      </c>
      <c r="B42" s="2">
        <f t="shared" si="3"/>
        <v>41292.719621881261</v>
      </c>
      <c r="C42" s="2">
        <f t="shared" si="4"/>
        <v>61131.550862013799</v>
      </c>
      <c r="D42" s="2"/>
      <c r="E42" s="2"/>
      <c r="F42" s="2">
        <f t="shared" si="5"/>
        <v>26352.633198840096</v>
      </c>
      <c r="G42" s="2"/>
      <c r="H42" s="2">
        <f t="shared" si="6"/>
        <v>49099.473516485647</v>
      </c>
      <c r="I42" s="2">
        <f t="shared" si="10"/>
        <v>177876.37719922079</v>
      </c>
      <c r="J42" s="2">
        <f t="shared" si="11"/>
        <v>10382.53425288669</v>
      </c>
      <c r="K42" s="6">
        <f t="shared" si="12"/>
        <v>6.1987557693170298E-2</v>
      </c>
      <c r="L42" s="7">
        <f t="shared" si="13"/>
        <v>1.0619875576931703</v>
      </c>
      <c r="O42">
        <f t="shared" si="14"/>
        <v>1992</v>
      </c>
      <c r="P42" s="6">
        <f t="shared" si="7"/>
        <v>0.23214279643009364</v>
      </c>
      <c r="Q42" s="6">
        <f t="shared" si="7"/>
        <v>0.343674364322963</v>
      </c>
      <c r="R42" s="7"/>
      <c r="S42" s="7"/>
      <c r="T42" s="6">
        <f t="shared" si="8"/>
        <v>0.14815139375885342</v>
      </c>
      <c r="U42" s="7"/>
      <c r="V42" s="6">
        <f t="shared" si="9"/>
        <v>0.27603144548809</v>
      </c>
      <c r="W42" s="6">
        <f t="shared" si="15"/>
        <v>1</v>
      </c>
      <c r="X42" s="7">
        <f t="shared" si="16"/>
        <v>0.72396855451191011</v>
      </c>
      <c r="Y42" s="7">
        <f t="shared" si="17"/>
        <v>0</v>
      </c>
    </row>
    <row r="43" spans="1:25" x14ac:dyDescent="0.3">
      <c r="A43">
        <f t="shared" si="2"/>
        <v>1993</v>
      </c>
      <c r="B43" s="2">
        <f t="shared" si="3"/>
        <v>45376.569592485313</v>
      </c>
      <c r="C43" s="2">
        <f t="shared" si="4"/>
        <v>69989.512581919596</v>
      </c>
      <c r="D43" s="2"/>
      <c r="E43" s="2"/>
      <c r="F43" s="2">
        <f t="shared" si="5"/>
        <v>34388.605166494395</v>
      </c>
      <c r="G43" s="2"/>
      <c r="H43" s="2">
        <f t="shared" si="6"/>
        <v>53852.302552881454</v>
      </c>
      <c r="I43" s="2">
        <f t="shared" si="10"/>
        <v>203606.98989378076</v>
      </c>
      <c r="J43" s="2">
        <f t="shared" si="11"/>
        <v>25730.612694559968</v>
      </c>
      <c r="K43" s="6">
        <f t="shared" si="12"/>
        <v>0.1446544678934055</v>
      </c>
      <c r="L43" s="7">
        <f t="shared" si="13"/>
        <v>1.1446544678934054</v>
      </c>
      <c r="O43">
        <f t="shared" si="14"/>
        <v>1993</v>
      </c>
      <c r="P43" s="6">
        <f t="shared" si="7"/>
        <v>0.22286351571799037</v>
      </c>
      <c r="Q43" s="6">
        <f t="shared" si="7"/>
        <v>0.34374808359198405</v>
      </c>
      <c r="R43" s="7"/>
      <c r="S43" s="7"/>
      <c r="T43" s="6">
        <f t="shared" si="8"/>
        <v>0.16889697737997356</v>
      </c>
      <c r="U43" s="7"/>
      <c r="V43" s="6">
        <f t="shared" si="9"/>
        <v>0.26449142331005204</v>
      </c>
      <c r="W43" s="6">
        <f t="shared" si="15"/>
        <v>1</v>
      </c>
      <c r="X43" s="7">
        <f t="shared" si="16"/>
        <v>0.73550857668994796</v>
      </c>
      <c r="Y43" s="7">
        <f t="shared" si="17"/>
        <v>0</v>
      </c>
    </row>
    <row r="44" spans="1:25" x14ac:dyDescent="0.3">
      <c r="A44">
        <f t="shared" si="2"/>
        <v>1994</v>
      </c>
      <c r="B44" s="2">
        <f t="shared" si="3"/>
        <v>45912.013113676643</v>
      </c>
      <c r="C44" s="2">
        <f t="shared" si="4"/>
        <v>68754.897579974539</v>
      </c>
      <c r="D44" s="2"/>
      <c r="E44" s="2"/>
      <c r="F44" s="2">
        <f t="shared" si="5"/>
        <v>36195.72636799368</v>
      </c>
      <c r="G44" s="2"/>
      <c r="H44" s="2">
        <f t="shared" si="6"/>
        <v>52419.83130497481</v>
      </c>
      <c r="I44" s="2">
        <f t="shared" si="10"/>
        <v>203282.46836661967</v>
      </c>
      <c r="J44" s="2">
        <f t="shared" si="11"/>
        <v>-324.52152716109413</v>
      </c>
      <c r="K44" s="6">
        <f t="shared" si="12"/>
        <v>-1.5938624078200507E-3</v>
      </c>
      <c r="L44" s="7">
        <f t="shared" si="13"/>
        <v>0.99840613759218</v>
      </c>
      <c r="O44">
        <f t="shared" si="14"/>
        <v>1994</v>
      </c>
      <c r="P44" s="6">
        <f t="shared" si="7"/>
        <v>0.22585328426293205</v>
      </c>
      <c r="Q44" s="6">
        <f t="shared" si="7"/>
        <v>0.33822344903828683</v>
      </c>
      <c r="R44" s="7"/>
      <c r="S44" s="7"/>
      <c r="T44" s="6">
        <f t="shared" si="8"/>
        <v>0.17805631080155293</v>
      </c>
      <c r="U44" s="7"/>
      <c r="V44" s="6">
        <f t="shared" si="9"/>
        <v>0.25786695589722824</v>
      </c>
      <c r="W44" s="6">
        <f t="shared" si="15"/>
        <v>1</v>
      </c>
      <c r="X44" s="7">
        <f t="shared" si="16"/>
        <v>0.74213304410277181</v>
      </c>
      <c r="Y44" s="7">
        <f t="shared" si="17"/>
        <v>0</v>
      </c>
    </row>
    <row r="45" spans="1:25" x14ac:dyDescent="0.3">
      <c r="A45">
        <f t="shared" si="2"/>
        <v>1995</v>
      </c>
      <c r="B45" s="2">
        <f t="shared" si="3"/>
        <v>63106.062024748549</v>
      </c>
      <c r="C45" s="2">
        <f t="shared" si="4"/>
        <v>91991.990315078525</v>
      </c>
      <c r="D45" s="2"/>
      <c r="E45" s="2"/>
      <c r="F45" s="2">
        <f t="shared" si="5"/>
        <v>39687.166133450351</v>
      </c>
      <c r="G45" s="2"/>
      <c r="H45" s="2">
        <f t="shared" si="6"/>
        <v>61949.75663621923</v>
      </c>
      <c r="I45" s="2">
        <f t="shared" si="10"/>
        <v>256734.97510949662</v>
      </c>
      <c r="J45" s="2">
        <f t="shared" si="11"/>
        <v>53452.506742876954</v>
      </c>
      <c r="K45" s="6">
        <f t="shared" si="12"/>
        <v>0.26294695834997156</v>
      </c>
      <c r="L45" s="7">
        <f t="shared" si="13"/>
        <v>1.2629469583499715</v>
      </c>
      <c r="O45">
        <f t="shared" si="14"/>
        <v>1995</v>
      </c>
      <c r="P45" s="6">
        <f t="shared" si="7"/>
        <v>0.24580235707205075</v>
      </c>
      <c r="Q45" s="6">
        <f t="shared" si="7"/>
        <v>0.35831499107530729</v>
      </c>
      <c r="R45" s="7"/>
      <c r="S45" s="7"/>
      <c r="T45" s="6">
        <f t="shared" si="8"/>
        <v>0.15458418205982222</v>
      </c>
      <c r="U45" s="7"/>
      <c r="V45" s="6">
        <f t="shared" si="9"/>
        <v>0.24129846979281985</v>
      </c>
      <c r="W45" s="6">
        <f t="shared" si="15"/>
        <v>1</v>
      </c>
      <c r="X45" s="7">
        <f t="shared" si="16"/>
        <v>0.75870153020718023</v>
      </c>
      <c r="Y45" s="7">
        <f t="shared" si="17"/>
        <v>0</v>
      </c>
    </row>
    <row r="46" spans="1:25" x14ac:dyDescent="0.3">
      <c r="A46">
        <f t="shared" si="2"/>
        <v>1996</v>
      </c>
      <c r="B46" s="2">
        <f t="shared" si="3"/>
        <v>77544.729016011028</v>
      </c>
      <c r="C46" s="2">
        <f t="shared" si="4"/>
        <v>108225.81684598043</v>
      </c>
      <c r="D46" s="2"/>
      <c r="E46" s="2"/>
      <c r="F46" s="2">
        <f t="shared" si="5"/>
        <v>43742.797640627643</v>
      </c>
      <c r="G46" s="2"/>
      <c r="H46" s="2">
        <f t="shared" si="6"/>
        <v>64167.557923795881</v>
      </c>
      <c r="I46" s="2">
        <f t="shared" si="10"/>
        <v>293680.90142641502</v>
      </c>
      <c r="J46" s="2">
        <f t="shared" si="11"/>
        <v>36945.926316918398</v>
      </c>
      <c r="K46" s="6">
        <f t="shared" si="12"/>
        <v>0.14390686855642121</v>
      </c>
      <c r="L46" s="7">
        <f t="shared" si="13"/>
        <v>1.1439068685564213</v>
      </c>
      <c r="O46">
        <f t="shared" si="14"/>
        <v>1996</v>
      </c>
      <c r="P46" s="6">
        <f t="shared" si="7"/>
        <v>0.26404416711939543</v>
      </c>
      <c r="Q46" s="6">
        <f t="shared" si="7"/>
        <v>0.36851499815045891</v>
      </c>
      <c r="R46" s="7"/>
      <c r="S46" s="7"/>
      <c r="T46" s="6">
        <f t="shared" si="8"/>
        <v>0.14894668815087345</v>
      </c>
      <c r="U46" s="6"/>
      <c r="V46" s="6">
        <f t="shared" si="9"/>
        <v>0.2184941465792721</v>
      </c>
      <c r="W46" s="6">
        <f t="shared" si="15"/>
        <v>0.99999999999999989</v>
      </c>
      <c r="X46" s="7">
        <f t="shared" si="16"/>
        <v>0.78150585342072776</v>
      </c>
      <c r="Y46" s="7">
        <f t="shared" si="17"/>
        <v>0</v>
      </c>
    </row>
    <row r="47" spans="1:25" x14ac:dyDescent="0.3">
      <c r="A47">
        <f t="shared" si="2"/>
        <v>1997</v>
      </c>
      <c r="B47" s="2">
        <f t="shared" si="3"/>
        <v>103281.82457642509</v>
      </c>
      <c r="C47" s="2">
        <f t="shared" si="4"/>
        <v>137108.04058766723</v>
      </c>
      <c r="D47" s="2"/>
      <c r="E47" s="2"/>
      <c r="F47" s="2"/>
      <c r="G47" s="2">
        <f>F46*(1+(G13/100))</f>
        <v>43403.790958912774</v>
      </c>
      <c r="H47" s="2">
        <f t="shared" si="6"/>
        <v>70224.975391802218</v>
      </c>
      <c r="I47" s="2">
        <f t="shared" ref="I47:I64" si="18">SUM(B47:H47)</f>
        <v>354018.63151480729</v>
      </c>
      <c r="J47" s="2">
        <f t="shared" si="11"/>
        <v>60337.730088392273</v>
      </c>
      <c r="K47" s="6">
        <f t="shared" ref="K47:K62" si="19">(J47/I46)</f>
        <v>0.20545336722725416</v>
      </c>
      <c r="L47" s="7">
        <f t="shared" si="13"/>
        <v>1.2054533672272543</v>
      </c>
      <c r="O47">
        <f t="shared" si="14"/>
        <v>1997</v>
      </c>
      <c r="P47" s="6">
        <f t="shared" si="7"/>
        <v>0.29174121185230667</v>
      </c>
      <c r="Q47" s="6">
        <f t="shared" si="7"/>
        <v>0.38729046547916646</v>
      </c>
      <c r="R47" s="7"/>
      <c r="S47" s="7"/>
      <c r="T47" s="6"/>
      <c r="U47" s="6">
        <f t="shared" si="7"/>
        <v>0.12260312620607752</v>
      </c>
      <c r="V47" s="6">
        <f t="shared" si="9"/>
        <v>0.19836519646244938</v>
      </c>
      <c r="W47" s="6">
        <f t="shared" si="15"/>
        <v>1</v>
      </c>
      <c r="X47" s="7">
        <f t="shared" si="16"/>
        <v>0.80163480353755057</v>
      </c>
      <c r="Y47" s="7">
        <f t="shared" si="17"/>
        <v>0</v>
      </c>
    </row>
    <row r="48" spans="1:25" x14ac:dyDescent="0.3">
      <c r="A48">
        <f t="shared" si="2"/>
        <v>1998</v>
      </c>
      <c r="B48" s="2">
        <f t="shared" si="3"/>
        <v>132882.39550002851</v>
      </c>
      <c r="C48" s="2">
        <f t="shared" si="4"/>
        <v>148560.67521795508</v>
      </c>
      <c r="D48" s="2"/>
      <c r="E48" s="2"/>
      <c r="F48" s="2"/>
      <c r="G48" s="2">
        <f t="shared" ref="G48:G65" si="20">G47*(1+(G14/100))</f>
        <v>50176.084462231927</v>
      </c>
      <c r="H48" s="2">
        <f t="shared" si="6"/>
        <v>76250.278280418861</v>
      </c>
      <c r="I48" s="2">
        <f t="shared" si="18"/>
        <v>407869.43346063432</v>
      </c>
      <c r="J48" s="2">
        <f t="shared" si="11"/>
        <v>53850.801945827028</v>
      </c>
      <c r="K48" s="6">
        <f t="shared" si="19"/>
        <v>0.15211290353675821</v>
      </c>
      <c r="L48" s="7">
        <f t="shared" si="13"/>
        <v>1.1521129035367581</v>
      </c>
      <c r="O48">
        <f t="shared" si="14"/>
        <v>1998</v>
      </c>
      <c r="P48" s="6">
        <f t="shared" si="7"/>
        <v>0.32579640590511105</v>
      </c>
      <c r="Q48" s="6">
        <f t="shared" si="7"/>
        <v>0.36423586331897428</v>
      </c>
      <c r="R48" s="7"/>
      <c r="S48" s="7"/>
      <c r="T48" s="7"/>
      <c r="U48" s="6">
        <f t="shared" si="7"/>
        <v>0.12301996753349426</v>
      </c>
      <c r="V48" s="6">
        <f t="shared" si="9"/>
        <v>0.18694776324242054</v>
      </c>
      <c r="W48" s="6">
        <f t="shared" si="15"/>
        <v>1.0000000000000002</v>
      </c>
      <c r="X48" s="7">
        <f t="shared" si="16"/>
        <v>0.81305223675757965</v>
      </c>
      <c r="Y48" s="7">
        <f t="shared" si="17"/>
        <v>0</v>
      </c>
    </row>
    <row r="49" spans="1:25" x14ac:dyDescent="0.3">
      <c r="A49">
        <f t="shared" si="2"/>
        <v>1999</v>
      </c>
      <c r="B49" s="2">
        <f t="shared" ref="B49:B65" si="21">B48*(1+(B15/100))</f>
        <v>160880.71623188452</v>
      </c>
      <c r="C49" s="2"/>
      <c r="D49" s="2">
        <f>($C48*0.67)*(1+(D15/100))</f>
        <v>114783.51898657772</v>
      </c>
      <c r="E49" s="2">
        <f>($C48*0.33)*(1+(E15/100))</f>
        <v>60365.981351321134</v>
      </c>
      <c r="F49" s="2"/>
      <c r="G49" s="2">
        <f t="shared" si="20"/>
        <v>65188.267172487103</v>
      </c>
      <c r="H49" s="2">
        <f t="shared" si="6"/>
        <v>75670.776165487667</v>
      </c>
      <c r="I49" s="2">
        <f t="shared" si="18"/>
        <v>476889.25990775815</v>
      </c>
      <c r="J49" s="2">
        <f t="shared" si="11"/>
        <v>69019.826447123836</v>
      </c>
      <c r="K49" s="6">
        <f t="shared" si="19"/>
        <v>0.16922039453046023</v>
      </c>
      <c r="L49" s="7">
        <f t="shared" si="13"/>
        <v>1.1692203945304602</v>
      </c>
      <c r="O49">
        <f t="shared" si="14"/>
        <v>1999</v>
      </c>
      <c r="P49" s="6">
        <f t="shared" si="7"/>
        <v>0.33735445470716352</v>
      </c>
      <c r="Q49" s="7"/>
      <c r="R49" s="6">
        <f t="shared" si="7"/>
        <v>0.24069218713120025</v>
      </c>
      <c r="S49" s="6">
        <f t="shared" si="7"/>
        <v>0.12658280742786568</v>
      </c>
      <c r="T49" s="7"/>
      <c r="U49" s="6">
        <f t="shared" si="7"/>
        <v>0.13669476889686313</v>
      </c>
      <c r="V49" s="6">
        <f t="shared" si="9"/>
        <v>0.15867578183690739</v>
      </c>
      <c r="W49" s="6">
        <f t="shared" si="15"/>
        <v>1</v>
      </c>
      <c r="X49" s="7">
        <f t="shared" si="16"/>
        <v>0.84132421816309255</v>
      </c>
      <c r="Y49" s="7">
        <f t="shared" si="17"/>
        <v>0</v>
      </c>
    </row>
    <row r="50" spans="1:25" x14ac:dyDescent="0.3">
      <c r="A50">
        <f t="shared" si="2"/>
        <v>2000</v>
      </c>
      <c r="B50" s="2">
        <f t="shared" si="21"/>
        <v>146304.92334127577</v>
      </c>
      <c r="C50" s="2"/>
      <c r="D50" s="2">
        <f t="shared" ref="D50:D65" si="22">D49*(1+(D16/100))</f>
        <v>135557.04025276855</v>
      </c>
      <c r="E50" s="2">
        <f t="shared" ref="E50:E65" si="23">E49*(1+(E16/100))</f>
        <v>58757.227948308428</v>
      </c>
      <c r="F50" s="2"/>
      <c r="G50" s="2">
        <f t="shared" si="20"/>
        <v>55009.771136174968</v>
      </c>
      <c r="H50" s="2">
        <f t="shared" si="6"/>
        <v>84289.67757073672</v>
      </c>
      <c r="I50" s="2">
        <f t="shared" si="18"/>
        <v>479918.64024926448</v>
      </c>
      <c r="J50" s="2">
        <f t="shared" si="11"/>
        <v>3029.3803415063303</v>
      </c>
      <c r="K50" s="6">
        <f t="shared" si="19"/>
        <v>6.3523769482505968E-3</v>
      </c>
      <c r="L50" s="7">
        <f t="shared" si="13"/>
        <v>1.0063523769482505</v>
      </c>
      <c r="O50">
        <f t="shared" si="14"/>
        <v>2000</v>
      </c>
      <c r="P50" s="6">
        <f t="shared" si="7"/>
        <v>0.30485359615389518</v>
      </c>
      <c r="Q50" s="7"/>
      <c r="R50" s="6">
        <f t="shared" si="7"/>
        <v>0.2824583770748344</v>
      </c>
      <c r="S50" s="6">
        <f t="shared" si="7"/>
        <v>0.12243164365899721</v>
      </c>
      <c r="T50" s="7"/>
      <c r="U50" s="6">
        <f t="shared" si="7"/>
        <v>0.1146231184260805</v>
      </c>
      <c r="V50" s="6">
        <f t="shared" si="9"/>
        <v>0.17563326468619261</v>
      </c>
      <c r="W50" s="6">
        <f t="shared" si="15"/>
        <v>0.99999999999999978</v>
      </c>
      <c r="X50" s="7">
        <f t="shared" si="16"/>
        <v>0.82436673531380722</v>
      </c>
      <c r="Y50" s="7">
        <f t="shared" si="17"/>
        <v>0</v>
      </c>
    </row>
    <row r="51" spans="1:25" x14ac:dyDescent="0.3">
      <c r="A51">
        <f t="shared" si="2"/>
        <v>2001</v>
      </c>
      <c r="B51" s="2">
        <f t="shared" si="21"/>
        <v>128719.07155565443</v>
      </c>
      <c r="C51" s="2"/>
      <c r="D51" s="2">
        <f t="shared" si="22"/>
        <v>134880.61062190722</v>
      </c>
      <c r="E51" s="2">
        <f t="shared" si="23"/>
        <v>60578.702014705981</v>
      </c>
      <c r="F51" s="2"/>
      <c r="G51" s="2">
        <f t="shared" si="20"/>
        <v>43923.651959101626</v>
      </c>
      <c r="H51" s="2">
        <f t="shared" si="6"/>
        <v>91395.297389949832</v>
      </c>
      <c r="I51" s="2">
        <f t="shared" si="18"/>
        <v>459497.33354131912</v>
      </c>
      <c r="J51" s="2">
        <f t="shared" si="11"/>
        <v>-20421.306707945361</v>
      </c>
      <c r="K51" s="6">
        <f t="shared" si="19"/>
        <v>-4.2551601449234727E-2</v>
      </c>
      <c r="L51" s="7">
        <f t="shared" si="13"/>
        <v>0.95744839855076525</v>
      </c>
      <c r="O51">
        <f t="shared" si="14"/>
        <v>2001</v>
      </c>
      <c r="P51" s="6">
        <f t="shared" si="7"/>
        <v>0.28013018174365467</v>
      </c>
      <c r="Q51" s="7"/>
      <c r="R51" s="6">
        <f t="shared" si="7"/>
        <v>0.29353948494627863</v>
      </c>
      <c r="S51" s="6">
        <f t="shared" si="7"/>
        <v>0.13183689565253723</v>
      </c>
      <c r="T51" s="7"/>
      <c r="U51" s="6">
        <f t="shared" si="7"/>
        <v>9.559065690454524E-2</v>
      </c>
      <c r="V51" s="6">
        <f t="shared" si="9"/>
        <v>0.19890278075298415</v>
      </c>
      <c r="W51" s="6">
        <f t="shared" si="15"/>
        <v>0.99999999999999989</v>
      </c>
      <c r="X51" s="7">
        <f t="shared" si="16"/>
        <v>0.80109721924701571</v>
      </c>
      <c r="Y51" s="7">
        <f t="shared" si="17"/>
        <v>0</v>
      </c>
    </row>
    <row r="52" spans="1:25" x14ac:dyDescent="0.3">
      <c r="A52">
        <f t="shared" si="2"/>
        <v>2002</v>
      </c>
      <c r="B52" s="2">
        <f t="shared" si="21"/>
        <v>100207.79720607697</v>
      </c>
      <c r="C52" s="2"/>
      <c r="D52" s="2">
        <f t="shared" si="22"/>
        <v>115177.25102225902</v>
      </c>
      <c r="E52" s="2">
        <f t="shared" si="23"/>
        <v>48449.634297321551</v>
      </c>
      <c r="F52" s="2"/>
      <c r="G52" s="2">
        <f t="shared" si="20"/>
        <v>37298.647534110329</v>
      </c>
      <c r="H52" s="2">
        <f t="shared" si="6"/>
        <v>98944.548954359692</v>
      </c>
      <c r="I52" s="2">
        <f t="shared" si="18"/>
        <v>400077.87901412754</v>
      </c>
      <c r="J52" s="2">
        <f t="shared" si="11"/>
        <v>-59419.454527191585</v>
      </c>
      <c r="K52" s="6">
        <f t="shared" si="19"/>
        <v>-0.12931403555543908</v>
      </c>
      <c r="L52" s="7">
        <f t="shared" si="13"/>
        <v>0.87068596444456092</v>
      </c>
      <c r="O52">
        <f t="shared" si="14"/>
        <v>2002</v>
      </c>
      <c r="P52" s="6">
        <f t="shared" si="7"/>
        <v>0.25047072698197953</v>
      </c>
      <c r="Q52" s="7"/>
      <c r="R52" s="6">
        <f t="shared" si="7"/>
        <v>0.28788707665137336</v>
      </c>
      <c r="S52" s="6">
        <f t="shared" si="7"/>
        <v>0.12110050777291463</v>
      </c>
      <c r="T52" s="7"/>
      <c r="U52" s="6">
        <f t="shared" si="7"/>
        <v>9.3228467482435434E-2</v>
      </c>
      <c r="V52" s="6">
        <f t="shared" si="9"/>
        <v>0.24731322111129711</v>
      </c>
      <c r="W52" s="6">
        <f t="shared" si="15"/>
        <v>1</v>
      </c>
      <c r="X52" s="7">
        <f t="shared" si="16"/>
        <v>0.75268677888870295</v>
      </c>
      <c r="Y52" s="7">
        <f t="shared" si="17"/>
        <v>0</v>
      </c>
    </row>
    <row r="53" spans="1:25" x14ac:dyDescent="0.3">
      <c r="A53">
        <f t="shared" si="2"/>
        <v>2003</v>
      </c>
      <c r="B53" s="2">
        <f t="shared" si="21"/>
        <v>128767.0194098089</v>
      </c>
      <c r="C53" s="2"/>
      <c r="D53" s="2">
        <f t="shared" si="22"/>
        <v>154501.06806627871</v>
      </c>
      <c r="E53" s="2">
        <f t="shared" si="23"/>
        <v>70556.233434503432</v>
      </c>
      <c r="F53" s="2"/>
      <c r="G53" s="2">
        <f t="shared" si="20"/>
        <v>52344.921949370437</v>
      </c>
      <c r="H53" s="2">
        <f t="shared" si="6"/>
        <v>102872.64754784778</v>
      </c>
      <c r="I53" s="2">
        <f t="shared" si="18"/>
        <v>509041.89040780923</v>
      </c>
      <c r="J53" s="2">
        <f t="shared" si="11"/>
        <v>108964.01139368169</v>
      </c>
      <c r="K53" s="6">
        <f t="shared" si="19"/>
        <v>0.27235700124733453</v>
      </c>
      <c r="L53" s="7">
        <f t="shared" si="13"/>
        <v>1.2723570012473346</v>
      </c>
      <c r="O53">
        <f t="shared" si="14"/>
        <v>2003</v>
      </c>
      <c r="P53" s="6">
        <f t="shared" si="7"/>
        <v>0.25295957334012265</v>
      </c>
      <c r="Q53" s="7"/>
      <c r="R53" s="6">
        <f t="shared" si="7"/>
        <v>0.30351346515412142</v>
      </c>
      <c r="S53" s="6">
        <f t="shared" si="7"/>
        <v>0.13860594729832282</v>
      </c>
      <c r="T53" s="7"/>
      <c r="U53" s="6">
        <f t="shared" si="7"/>
        <v>0.10283028358910756</v>
      </c>
      <c r="V53" s="6">
        <f t="shared" si="9"/>
        <v>0.20209073061832555</v>
      </c>
      <c r="W53" s="6">
        <f t="shared" si="15"/>
        <v>0.99999999999999978</v>
      </c>
      <c r="X53" s="7">
        <f t="shared" si="16"/>
        <v>0.79790926938167428</v>
      </c>
      <c r="Y53" s="7">
        <f t="shared" si="17"/>
        <v>0</v>
      </c>
    </row>
    <row r="54" spans="1:25" x14ac:dyDescent="0.3">
      <c r="A54">
        <f t="shared" si="2"/>
        <v>2004</v>
      </c>
      <c r="B54" s="2">
        <f t="shared" si="21"/>
        <v>142596.59729442236</v>
      </c>
      <c r="C54" s="2"/>
      <c r="D54" s="2">
        <f t="shared" si="22"/>
        <v>185946.67044980841</v>
      </c>
      <c r="E54" s="2">
        <f t="shared" si="23"/>
        <v>84594.807200966592</v>
      </c>
      <c r="F54" s="2"/>
      <c r="G54" s="2">
        <f t="shared" si="20"/>
        <v>63252.033335960754</v>
      </c>
      <c r="H54" s="2">
        <f t="shared" si="6"/>
        <v>107234.44780387652</v>
      </c>
      <c r="I54" s="2">
        <f t="shared" si="18"/>
        <v>583624.55608503462</v>
      </c>
      <c r="J54" s="2">
        <f>I54-I53</f>
        <v>74582.665677225392</v>
      </c>
      <c r="K54" s="6">
        <f>(J54/I53)</f>
        <v>0.14651577224317414</v>
      </c>
      <c r="L54" s="7">
        <f t="shared" si="13"/>
        <v>1.1465157722431742</v>
      </c>
      <c r="O54">
        <f t="shared" si="14"/>
        <v>2004</v>
      </c>
      <c r="P54" s="6">
        <f t="shared" si="7"/>
        <v>0.24432933091603143</v>
      </c>
      <c r="Q54" s="7"/>
      <c r="R54" s="6">
        <f t="shared" si="7"/>
        <v>0.31860665989988918</v>
      </c>
      <c r="S54" s="6">
        <f t="shared" si="7"/>
        <v>0.14494730613877915</v>
      </c>
      <c r="T54" s="7"/>
      <c r="U54" s="6">
        <f t="shared" si="7"/>
        <v>0.10837795064734199</v>
      </c>
      <c r="V54" s="6">
        <f t="shared" si="9"/>
        <v>0.18373875239795834</v>
      </c>
      <c r="W54" s="6">
        <f t="shared" si="15"/>
        <v>1</v>
      </c>
      <c r="X54" s="7">
        <f t="shared" si="16"/>
        <v>0.81626124760204177</v>
      </c>
      <c r="Y54" s="7">
        <f t="shared" si="17"/>
        <v>0</v>
      </c>
    </row>
    <row r="55" spans="1:25" x14ac:dyDescent="0.3">
      <c r="A55">
        <f t="shared" si="2"/>
        <v>2005</v>
      </c>
      <c r="B55" s="2">
        <f t="shared" si="21"/>
        <v>149398.45498536632</v>
      </c>
      <c r="C55" s="2"/>
      <c r="D55" s="2">
        <f t="shared" si="22"/>
        <v>211850.90111017122</v>
      </c>
      <c r="E55" s="2">
        <f t="shared" si="23"/>
        <v>90823.522855173767</v>
      </c>
      <c r="F55" s="2"/>
      <c r="G55" s="2">
        <f t="shared" si="20"/>
        <v>73101.00744670321</v>
      </c>
      <c r="H55" s="2">
        <f t="shared" si="6"/>
        <v>109808.07455116956</v>
      </c>
      <c r="I55" s="2">
        <f t="shared" si="18"/>
        <v>634981.96094858414</v>
      </c>
      <c r="J55" s="2">
        <f t="shared" si="11"/>
        <v>51357.404863549513</v>
      </c>
      <c r="K55" s="6">
        <f t="shared" si="19"/>
        <v>8.7997333779195358E-2</v>
      </c>
      <c r="L55" s="7">
        <f t="shared" si="13"/>
        <v>1.0879973337791953</v>
      </c>
      <c r="O55">
        <f t="shared" si="14"/>
        <v>2005</v>
      </c>
      <c r="P55" s="6">
        <f t="shared" si="7"/>
        <v>0.2352798412764098</v>
      </c>
      <c r="Q55" s="7"/>
      <c r="R55" s="6">
        <f t="shared" si="7"/>
        <v>0.33363294414488925</v>
      </c>
      <c r="S55" s="6">
        <f t="shared" si="7"/>
        <v>0.14303323313231561</v>
      </c>
      <c r="T55" s="7"/>
      <c r="U55" s="6">
        <f t="shared" si="7"/>
        <v>0.11512296717453105</v>
      </c>
      <c r="V55" s="6">
        <f t="shared" si="9"/>
        <v>0.17293101427185417</v>
      </c>
      <c r="W55" s="6">
        <f t="shared" si="15"/>
        <v>1</v>
      </c>
      <c r="X55" s="7">
        <f t="shared" si="16"/>
        <v>0.8270689857281458</v>
      </c>
      <c r="Y55" s="7">
        <f t="shared" si="17"/>
        <v>0</v>
      </c>
    </row>
    <row r="56" spans="1:25" x14ac:dyDescent="0.3">
      <c r="A56">
        <f t="shared" si="2"/>
        <v>2006</v>
      </c>
      <c r="B56" s="2">
        <f t="shared" si="21"/>
        <v>172764.37334507762</v>
      </c>
      <c r="C56" s="2"/>
      <c r="D56" s="2">
        <f t="shared" si="22"/>
        <v>240656.2681341212</v>
      </c>
      <c r="E56" s="2">
        <f t="shared" si="23"/>
        <v>105042.85359337977</v>
      </c>
      <c r="F56" s="2"/>
      <c r="G56" s="2">
        <f t="shared" si="20"/>
        <v>92572.922800281551</v>
      </c>
      <c r="H56" s="2">
        <f t="shared" si="6"/>
        <v>114496.8793345045</v>
      </c>
      <c r="I56" s="2">
        <f t="shared" si="18"/>
        <v>725533.29720736458</v>
      </c>
      <c r="J56" s="2">
        <f t="shared" si="11"/>
        <v>90551.336258780444</v>
      </c>
      <c r="K56" s="6">
        <f t="shared" si="19"/>
        <v>0.14260458064589426</v>
      </c>
      <c r="L56" s="7">
        <f t="shared" si="13"/>
        <v>1.1426045806458942</v>
      </c>
      <c r="O56">
        <f t="shared" si="14"/>
        <v>2006</v>
      </c>
      <c r="P56" s="6">
        <f t="shared" si="7"/>
        <v>0.23812053011221049</v>
      </c>
      <c r="Q56" s="7"/>
      <c r="R56" s="6">
        <f t="shared" si="7"/>
        <v>0.33169569068770011</v>
      </c>
      <c r="S56" s="6">
        <f t="shared" si="7"/>
        <v>0.1447801968534016</v>
      </c>
      <c r="T56" s="7"/>
      <c r="U56" s="6">
        <f t="shared" si="7"/>
        <v>0.1275929349577781</v>
      </c>
      <c r="V56" s="6">
        <f t="shared" si="9"/>
        <v>0.15781064738890979</v>
      </c>
      <c r="W56" s="6">
        <f t="shared" si="15"/>
        <v>1</v>
      </c>
      <c r="X56" s="7">
        <f t="shared" si="16"/>
        <v>0.84218935261109029</v>
      </c>
      <c r="Y56" s="7">
        <f t="shared" si="17"/>
        <v>0</v>
      </c>
    </row>
    <row r="57" spans="1:25" x14ac:dyDescent="0.3">
      <c r="A57">
        <f t="shared" si="2"/>
        <v>2007</v>
      </c>
      <c r="B57" s="2">
        <f t="shared" si="21"/>
        <v>182076.37306837732</v>
      </c>
      <c r="C57" s="2"/>
      <c r="D57" s="2">
        <f t="shared" si="22"/>
        <v>255146.18203847666</v>
      </c>
      <c r="E57" s="2">
        <f t="shared" si="23"/>
        <v>106257.14898091924</v>
      </c>
      <c r="F57" s="2"/>
      <c r="G57" s="2">
        <f t="shared" si="20"/>
        <v>106942.09187734124</v>
      </c>
      <c r="H57" s="2">
        <f t="shared" si="6"/>
        <v>122420.06338445219</v>
      </c>
      <c r="I57" s="2">
        <f t="shared" si="18"/>
        <v>772841.85934956674</v>
      </c>
      <c r="J57" s="2">
        <f t="shared" si="11"/>
        <v>47308.562142202165</v>
      </c>
      <c r="K57" s="6">
        <f t="shared" si="19"/>
        <v>6.5205225348438992E-2</v>
      </c>
      <c r="L57" s="7">
        <f t="shared" si="13"/>
        <v>1.065205225348439</v>
      </c>
      <c r="O57">
        <f t="shared" si="14"/>
        <v>2007</v>
      </c>
      <c r="P57" s="6">
        <f t="shared" si="7"/>
        <v>0.23559331170495221</v>
      </c>
      <c r="Q57" s="7"/>
      <c r="R57" s="6">
        <f t="shared" si="7"/>
        <v>0.33014022073443439</v>
      </c>
      <c r="S57" s="6">
        <f t="shared" si="7"/>
        <v>0.13748886359538881</v>
      </c>
      <c r="T57" s="7"/>
      <c r="U57" s="6">
        <f t="shared" si="7"/>
        <v>0.13837512886186706</v>
      </c>
      <c r="V57" s="6">
        <f t="shared" si="9"/>
        <v>0.15840247510335742</v>
      </c>
      <c r="W57" s="6">
        <f t="shared" si="15"/>
        <v>1</v>
      </c>
      <c r="X57" s="7">
        <f t="shared" si="16"/>
        <v>0.84159752489664252</v>
      </c>
      <c r="Y57" s="7">
        <f t="shared" si="17"/>
        <v>0</v>
      </c>
    </row>
    <row r="58" spans="1:25" x14ac:dyDescent="0.3">
      <c r="A58">
        <f t="shared" si="2"/>
        <v>2008</v>
      </c>
      <c r="B58" s="2">
        <f t="shared" si="21"/>
        <v>114671.69975846402</v>
      </c>
      <c r="C58" s="2"/>
      <c r="D58" s="2">
        <f t="shared" si="22"/>
        <v>148433.84286270419</v>
      </c>
      <c r="E58" s="2">
        <f t="shared" si="23"/>
        <v>67930.195343501677</v>
      </c>
      <c r="F58" s="2"/>
      <c r="G58" s="2">
        <f t="shared" si="20"/>
        <v>59779.559938514976</v>
      </c>
      <c r="H58" s="2">
        <f t="shared" si="6"/>
        <v>128602.27658536703</v>
      </c>
      <c r="I58" s="2">
        <f t="shared" si="18"/>
        <v>519417.57448855188</v>
      </c>
      <c r="J58" s="2">
        <f t="shared" si="11"/>
        <v>-253424.28486101486</v>
      </c>
      <c r="K58" s="6">
        <f t="shared" si="19"/>
        <v>-0.32791221359865247</v>
      </c>
      <c r="L58" s="7">
        <f t="shared" si="13"/>
        <v>0.67208778640134748</v>
      </c>
      <c r="O58">
        <f t="shared" si="14"/>
        <v>2008</v>
      </c>
      <c r="P58" s="6">
        <f t="shared" si="7"/>
        <v>0.22076977251179131</v>
      </c>
      <c r="Q58" s="7"/>
      <c r="R58" s="6">
        <f t="shared" si="7"/>
        <v>0.28576977397975145</v>
      </c>
      <c r="S58" s="6">
        <f t="shared" si="7"/>
        <v>0.13078147271083312</v>
      </c>
      <c r="T58" s="7"/>
      <c r="U58" s="6">
        <f t="shared" si="7"/>
        <v>0.11508959818577054</v>
      </c>
      <c r="V58" s="6">
        <f t="shared" si="9"/>
        <v>0.24758938261185359</v>
      </c>
      <c r="W58" s="6">
        <f t="shared" si="15"/>
        <v>1</v>
      </c>
      <c r="X58" s="7">
        <f t="shared" si="16"/>
        <v>0.75241061738814652</v>
      </c>
      <c r="Y58" s="7">
        <f t="shared" si="17"/>
        <v>0</v>
      </c>
    </row>
    <row r="59" spans="1:25" x14ac:dyDescent="0.3">
      <c r="A59">
        <f t="shared" si="2"/>
        <v>2009</v>
      </c>
      <c r="B59" s="2">
        <f t="shared" si="21"/>
        <v>145048.23302448113</v>
      </c>
      <c r="C59" s="2"/>
      <c r="D59" s="2">
        <f t="shared" si="22"/>
        <v>208130.96578522655</v>
      </c>
      <c r="E59" s="2">
        <f t="shared" si="23"/>
        <v>92465.223297667617</v>
      </c>
      <c r="F59" s="2"/>
      <c r="G59" s="2">
        <f t="shared" si="20"/>
        <v>81734.798917133376</v>
      </c>
      <c r="H59" s="2">
        <f t="shared" si="6"/>
        <v>136228.39158687927</v>
      </c>
      <c r="I59" s="2">
        <f t="shared" si="18"/>
        <v>663607.61261138797</v>
      </c>
      <c r="J59" s="2">
        <f t="shared" si="11"/>
        <v>144190.03812283609</v>
      </c>
      <c r="K59" s="6">
        <f t="shared" si="19"/>
        <v>0.27759945986581952</v>
      </c>
      <c r="L59" s="7">
        <f t="shared" si="13"/>
        <v>1.2775994598658196</v>
      </c>
      <c r="O59">
        <f t="shared" si="14"/>
        <v>2009</v>
      </c>
      <c r="P59" s="6">
        <f t="shared" si="7"/>
        <v>0.21857530002360315</v>
      </c>
      <c r="Q59" s="7"/>
      <c r="R59" s="6">
        <f t="shared" si="7"/>
        <v>0.31363559101771354</v>
      </c>
      <c r="S59" s="6">
        <f t="shared" si="7"/>
        <v>0.13933719496345762</v>
      </c>
      <c r="T59" s="7"/>
      <c r="U59" s="6">
        <f t="shared" si="7"/>
        <v>0.1231673618020981</v>
      </c>
      <c r="V59" s="6">
        <f t="shared" si="9"/>
        <v>0.20528455219312758</v>
      </c>
      <c r="W59" s="6">
        <f t="shared" si="15"/>
        <v>1</v>
      </c>
      <c r="X59" s="7">
        <f t="shared" si="16"/>
        <v>0.79471544780687242</v>
      </c>
      <c r="Y59" s="7">
        <f t="shared" si="17"/>
        <v>0</v>
      </c>
    </row>
    <row r="60" spans="1:25" x14ac:dyDescent="0.3">
      <c r="A60">
        <f t="shared" si="2"/>
        <v>2010</v>
      </c>
      <c r="B60" s="2">
        <f t="shared" si="21"/>
        <v>166674.92456843128</v>
      </c>
      <c r="C60" s="2"/>
      <c r="D60" s="2">
        <f t="shared" si="22"/>
        <v>261121.10967414521</v>
      </c>
      <c r="E60" s="2">
        <f t="shared" si="23"/>
        <v>118096.58319578109</v>
      </c>
      <c r="F60" s="2"/>
      <c r="G60" s="2">
        <f t="shared" si="20"/>
        <v>90823.7085567186</v>
      </c>
      <c r="H60" s="2">
        <f t="shared" si="6"/>
        <v>144974.25432675693</v>
      </c>
      <c r="I60" s="2">
        <f t="shared" si="18"/>
        <v>781690.58032183314</v>
      </c>
      <c r="J60" s="2">
        <f t="shared" si="11"/>
        <v>118082.96771044517</v>
      </c>
      <c r="K60" s="6">
        <f t="shared" si="19"/>
        <v>0.17794094803369165</v>
      </c>
      <c r="L60" s="7">
        <f t="shared" si="13"/>
        <v>1.1779409480336915</v>
      </c>
      <c r="O60">
        <f t="shared" si="14"/>
        <v>2010</v>
      </c>
      <c r="P60" s="6">
        <f t="shared" si="7"/>
        <v>0.21322365749860878</v>
      </c>
      <c r="Q60" s="7"/>
      <c r="R60" s="6">
        <f t="shared" si="7"/>
        <v>0.33404663718301164</v>
      </c>
      <c r="S60" s="6">
        <f t="shared" si="7"/>
        <v>0.15107842689771064</v>
      </c>
      <c r="T60" s="7"/>
      <c r="U60" s="6">
        <f t="shared" si="7"/>
        <v>0.1161888231009835</v>
      </c>
      <c r="V60" s="6">
        <f t="shared" si="9"/>
        <v>0.18546245531968539</v>
      </c>
      <c r="W60" s="6">
        <f t="shared" si="15"/>
        <v>0.99999999999999989</v>
      </c>
      <c r="X60" s="7">
        <f t="shared" si="16"/>
        <v>0.81453754468031447</v>
      </c>
      <c r="Y60" s="7">
        <f t="shared" si="17"/>
        <v>0</v>
      </c>
    </row>
    <row r="61" spans="1:25" x14ac:dyDescent="0.3">
      <c r="A61">
        <f t="shared" si="2"/>
        <v>2011</v>
      </c>
      <c r="B61" s="2">
        <f t="shared" si="21"/>
        <v>169958.42058242939</v>
      </c>
      <c r="C61" s="2"/>
      <c r="D61" s="2">
        <f t="shared" si="22"/>
        <v>255611.45426002075</v>
      </c>
      <c r="E61" s="2">
        <f t="shared" si="23"/>
        <v>114789.87886629922</v>
      </c>
      <c r="F61" s="2"/>
      <c r="G61" s="2">
        <f t="shared" si="20"/>
        <v>77599.776590860376</v>
      </c>
      <c r="H61" s="2">
        <f t="shared" si="6"/>
        <v>155934.30795385977</v>
      </c>
      <c r="I61" s="2">
        <f t="shared" si="18"/>
        <v>773893.83825346944</v>
      </c>
      <c r="J61" s="2">
        <f t="shared" si="11"/>
        <v>-7796.7420683637029</v>
      </c>
      <c r="K61" s="6">
        <f t="shared" si="19"/>
        <v>-9.9742049663099092E-3</v>
      </c>
      <c r="L61" s="7">
        <f t="shared" si="13"/>
        <v>0.99002579503369004</v>
      </c>
      <c r="O61">
        <f t="shared" si="14"/>
        <v>2011</v>
      </c>
      <c r="P61" s="6">
        <f t="shared" si="7"/>
        <v>0.21961464503450898</v>
      </c>
      <c r="Q61" s="7"/>
      <c r="R61" s="6">
        <f t="shared" si="7"/>
        <v>0.33029265982642653</v>
      </c>
      <c r="S61" s="6">
        <f t="shared" si="7"/>
        <v>0.14832768164346424</v>
      </c>
      <c r="T61" s="7"/>
      <c r="U61" s="6">
        <f t="shared" si="7"/>
        <v>0.100271862567078</v>
      </c>
      <c r="V61" s="6">
        <f t="shared" si="9"/>
        <v>0.20149315092852232</v>
      </c>
      <c r="W61" s="6">
        <f t="shared" si="15"/>
        <v>1</v>
      </c>
      <c r="X61" s="7">
        <f t="shared" si="16"/>
        <v>0.79850684907147773</v>
      </c>
      <c r="Y61" s="7">
        <f t="shared" si="17"/>
        <v>0</v>
      </c>
    </row>
    <row r="62" spans="1:25" x14ac:dyDescent="0.3">
      <c r="A62">
        <f t="shared" si="2"/>
        <v>2012</v>
      </c>
      <c r="B62" s="2">
        <f t="shared" si="21"/>
        <v>196845.84271856971</v>
      </c>
      <c r="C62" s="2"/>
      <c r="D62" s="2">
        <f t="shared" si="22"/>
        <v>295998.06403310399</v>
      </c>
      <c r="E62" s="2">
        <f t="shared" si="23"/>
        <v>135497.97301377961</v>
      </c>
      <c r="F62" s="2"/>
      <c r="G62" s="2">
        <f t="shared" si="20"/>
        <v>91676.376064442447</v>
      </c>
      <c r="H62" s="2">
        <f t="shared" si="6"/>
        <v>162249.64742599108</v>
      </c>
      <c r="I62" s="2">
        <f t="shared" si="18"/>
        <v>882267.90325588686</v>
      </c>
      <c r="J62" s="2">
        <f t="shared" si="11"/>
        <v>108374.06500241742</v>
      </c>
      <c r="K62" s="6">
        <f t="shared" si="19"/>
        <v>0.14003737934778882</v>
      </c>
      <c r="L62" s="7">
        <f t="shared" si="13"/>
        <v>1.1400373793477887</v>
      </c>
      <c r="O62">
        <f t="shared" si="14"/>
        <v>2012</v>
      </c>
      <c r="P62" s="6">
        <f t="shared" si="7"/>
        <v>0.22311345793283144</v>
      </c>
      <c r="Q62" s="7"/>
      <c r="R62" s="6">
        <f t="shared" si="7"/>
        <v>0.33549680651507818</v>
      </c>
      <c r="S62" s="6">
        <f t="shared" si="7"/>
        <v>0.15357917080939157</v>
      </c>
      <c r="T62" s="7"/>
      <c r="U62" s="6">
        <f t="shared" si="7"/>
        <v>0.10390990732647482</v>
      </c>
      <c r="V62" s="6">
        <f t="shared" si="9"/>
        <v>0.18390065741622397</v>
      </c>
      <c r="W62" s="6">
        <f t="shared" si="15"/>
        <v>0.99999999999999989</v>
      </c>
      <c r="X62" s="7">
        <f t="shared" si="16"/>
        <v>0.81609934258377592</v>
      </c>
      <c r="Y62" s="7">
        <f t="shared" si="17"/>
        <v>0</v>
      </c>
    </row>
    <row r="63" spans="1:25" x14ac:dyDescent="0.3">
      <c r="A63">
        <f t="shared" si="2"/>
        <v>2013</v>
      </c>
      <c r="B63" s="2">
        <f t="shared" si="21"/>
        <v>260190.83490540547</v>
      </c>
      <c r="C63" s="2"/>
      <c r="D63" s="2">
        <f t="shared" si="22"/>
        <v>399597.3864446904</v>
      </c>
      <c r="E63" s="2">
        <f t="shared" si="23"/>
        <v>186472.31046156349</v>
      </c>
      <c r="F63" s="2"/>
      <c r="G63" s="2">
        <f t="shared" si="20"/>
        <v>105464.50302453458</v>
      </c>
      <c r="H63" s="2">
        <f t="shared" si="6"/>
        <v>158582.80539416368</v>
      </c>
      <c r="I63" s="2">
        <f t="shared" ref="I63" si="24">SUM(B63:H63)</f>
        <v>1110307.8402303576</v>
      </c>
      <c r="J63" s="2">
        <f t="shared" si="11"/>
        <v>228039.93697447074</v>
      </c>
      <c r="K63" s="6">
        <f>(J63/I61)</f>
        <v>0.29466565787513349</v>
      </c>
      <c r="L63" s="7">
        <f t="shared" ref="L63" si="25">K63+1</f>
        <v>1.2946656578751334</v>
      </c>
      <c r="O63">
        <f t="shared" ref="O63" si="26">A63</f>
        <v>2013</v>
      </c>
      <c r="P63" s="6">
        <f t="shared" ref="P63" si="27">B63/$I63</f>
        <v>0.2343411669068492</v>
      </c>
      <c r="Q63" s="7"/>
      <c r="R63" s="6">
        <f t="shared" ref="R63" si="28">D63/$I63</f>
        <v>0.35989783370509676</v>
      </c>
      <c r="S63" s="6">
        <f t="shared" ref="S63" si="29">E63/$I63</f>
        <v>0.16794649529168032</v>
      </c>
      <c r="T63" s="7"/>
      <c r="U63" s="6">
        <f t="shared" ref="U63" si="30">G63/$I63</f>
        <v>9.4986722783704444E-2</v>
      </c>
      <c r="V63" s="6">
        <f t="shared" ref="V63" si="31">H63/$I63</f>
        <v>0.14282778131266929</v>
      </c>
      <c r="W63" s="6">
        <f t="shared" ref="W63" si="32">SUM(P63:V63)</f>
        <v>1</v>
      </c>
      <c r="X63" s="7">
        <f t="shared" ref="X63" si="33">SUM(P63:U63)</f>
        <v>0.85717221868733073</v>
      </c>
      <c r="Y63" s="7">
        <f t="shared" ref="Y63" si="34">W63-(X63+V63)</f>
        <v>0</v>
      </c>
    </row>
    <row r="64" spans="1:25" x14ac:dyDescent="0.3">
      <c r="A64">
        <f t="shared" si="2"/>
        <v>2014</v>
      </c>
      <c r="B64" s="2">
        <f t="shared" si="21"/>
        <v>295342.61670112575</v>
      </c>
      <c r="C64" s="2"/>
      <c r="D64" s="2">
        <f t="shared" si="22"/>
        <v>453942.63100116834</v>
      </c>
      <c r="E64" s="2">
        <f t="shared" si="23"/>
        <v>200215.31974258073</v>
      </c>
      <c r="F64" s="2"/>
      <c r="G64" s="2">
        <f t="shared" si="20"/>
        <v>100992.80809629432</v>
      </c>
      <c r="H64" s="2">
        <f t="shared" si="6"/>
        <v>167717.17498486751</v>
      </c>
      <c r="I64" s="2">
        <f t="shared" si="18"/>
        <v>1218210.5505260366</v>
      </c>
      <c r="J64" s="2">
        <f t="shared" si="11"/>
        <v>107902.71029567905</v>
      </c>
      <c r="K64" s="6">
        <f>(J64/I62)</f>
        <v>0.12230152530481854</v>
      </c>
      <c r="L64" s="7">
        <f t="shared" si="13"/>
        <v>1.1223015253048185</v>
      </c>
      <c r="O64">
        <f t="shared" si="14"/>
        <v>2014</v>
      </c>
      <c r="P64" s="6">
        <f t="shared" si="7"/>
        <v>0.24243971337597886</v>
      </c>
      <c r="Q64" s="7"/>
      <c r="R64" s="6">
        <f t="shared" si="7"/>
        <v>0.37263068424842566</v>
      </c>
      <c r="S64" s="6">
        <f t="shared" si="7"/>
        <v>0.16435198304277168</v>
      </c>
      <c r="T64" s="7"/>
      <c r="U64" s="6">
        <f t="shared" si="7"/>
        <v>8.2902588598239055E-2</v>
      </c>
      <c r="V64" s="6">
        <f t="shared" si="9"/>
        <v>0.13767503073458476</v>
      </c>
      <c r="W64" s="6">
        <f t="shared" si="15"/>
        <v>1</v>
      </c>
      <c r="X64" s="7">
        <f t="shared" si="16"/>
        <v>0.86232496926541524</v>
      </c>
      <c r="Y64" s="7">
        <f t="shared" si="17"/>
        <v>0</v>
      </c>
    </row>
    <row r="65" spans="1:25" x14ac:dyDescent="0.3">
      <c r="A65">
        <f t="shared" si="2"/>
        <v>2015</v>
      </c>
      <c r="B65" s="2">
        <f t="shared" si="21"/>
        <v>299034.39940988983</v>
      </c>
      <c r="C65" s="2"/>
      <c r="D65" s="2">
        <f t="shared" si="22"/>
        <v>447315.06858855131</v>
      </c>
      <c r="E65" s="2">
        <f t="shared" si="23"/>
        <v>192647.18065631116</v>
      </c>
      <c r="F65" s="2"/>
      <c r="G65" s="2">
        <f t="shared" si="20"/>
        <v>96579.422382486257</v>
      </c>
      <c r="H65" s="2">
        <f t="shared" si="6"/>
        <v>168220.3265098221</v>
      </c>
      <c r="I65" s="2">
        <f t="shared" ref="I65" si="35">SUM(B65:H65)</f>
        <v>1203796.3975470606</v>
      </c>
      <c r="J65" s="2">
        <f t="shared" si="11"/>
        <v>-14414.152978976024</v>
      </c>
      <c r="K65" s="6">
        <f>(J65/I63)</f>
        <v>-1.2982123026336096E-2</v>
      </c>
      <c r="L65" s="7">
        <f t="shared" ref="L65" si="36">K65+1</f>
        <v>0.98701787697366394</v>
      </c>
      <c r="O65">
        <f t="shared" ref="O65" si="37">A65</f>
        <v>2015</v>
      </c>
      <c r="P65" s="6">
        <f t="shared" ref="P65" si="38">B65/$I65</f>
        <v>0.24840944865695158</v>
      </c>
      <c r="Q65" s="7"/>
      <c r="R65" s="6">
        <f t="shared" ref="R65" si="39">D65/$I65</f>
        <v>0.37158698057248857</v>
      </c>
      <c r="S65" s="6">
        <f t="shared" ref="S65" si="40">E65/$I65</f>
        <v>0.16003302638956426</v>
      </c>
      <c r="T65" s="7"/>
      <c r="U65" s="6">
        <f t="shared" ref="U65" si="41">G65/$I65</f>
        <v>8.0229034228116322E-2</v>
      </c>
      <c r="V65" s="6">
        <f t="shared" ref="V65" si="42">H65/$I65</f>
        <v>0.13974151015287931</v>
      </c>
      <c r="W65" s="6">
        <f t="shared" ref="W65" si="43">SUM(P65:V65)</f>
        <v>1.0000000000000002</v>
      </c>
      <c r="X65" s="7">
        <f t="shared" ref="X65" si="44">SUM(P65:U65)</f>
        <v>0.86025848984712083</v>
      </c>
      <c r="Y65" s="7">
        <f t="shared" ref="Y65" si="45">W65-(X65+V65)</f>
        <v>0</v>
      </c>
    </row>
    <row r="66" spans="1:25" x14ac:dyDescent="0.3">
      <c r="A66" s="9" t="s">
        <v>82</v>
      </c>
      <c r="B66" s="10">
        <f>B65</f>
        <v>299034.39940988983</v>
      </c>
      <c r="C66" s="10"/>
      <c r="D66" s="10">
        <f>D65</f>
        <v>447315.06858855131</v>
      </c>
      <c r="E66" s="10">
        <f>E65</f>
        <v>192647.18065631116</v>
      </c>
      <c r="F66" s="10"/>
      <c r="G66" s="10">
        <f>G65</f>
        <v>96579.422382486257</v>
      </c>
      <c r="H66" s="10">
        <f>H65</f>
        <v>168220.3265098221</v>
      </c>
      <c r="I66" s="53">
        <f>SUM(B66:H66)</f>
        <v>1203796.3975470606</v>
      </c>
      <c r="J66" s="10"/>
      <c r="K66" s="10"/>
      <c r="S66" s="7"/>
    </row>
    <row r="67" spans="1:25" x14ac:dyDescent="0.3">
      <c r="A67" s="11" t="s">
        <v>83</v>
      </c>
      <c r="I67" s="52">
        <f>(I66-I37)/I37</f>
        <v>11.037963975470607</v>
      </c>
      <c r="K67" s="6"/>
      <c r="R67" s="7"/>
    </row>
    <row r="68" spans="1:25" x14ac:dyDescent="0.3">
      <c r="A68" s="1" t="s">
        <v>84</v>
      </c>
      <c r="I68" s="29">
        <f>STDEV(L38:L65)</f>
        <v>0.13998162602709799</v>
      </c>
    </row>
    <row r="69" spans="1:25" x14ac:dyDescent="0.3">
      <c r="A69" s="1" t="s">
        <v>85</v>
      </c>
      <c r="I69" s="13">
        <f>((1+I67)^(1/28))-1</f>
        <v>9.2927062761541945E-2</v>
      </c>
    </row>
    <row r="70" spans="1:25" x14ac:dyDescent="0.3">
      <c r="A70" s="1" t="s">
        <v>86</v>
      </c>
      <c r="I70" s="31">
        <f>J58</f>
        <v>-253424.28486101486</v>
      </c>
    </row>
    <row r="71" spans="1:25" x14ac:dyDescent="0.3">
      <c r="A71" s="1" t="s">
        <v>87</v>
      </c>
      <c r="I71" s="32">
        <f>K58</f>
        <v>-0.32791221359865247</v>
      </c>
    </row>
    <row r="72" spans="1:25" x14ac:dyDescent="0.3">
      <c r="A72" s="3" t="s">
        <v>88</v>
      </c>
      <c r="I72" s="33">
        <f>I65-I66</f>
        <v>0</v>
      </c>
    </row>
    <row r="73" spans="1:25" x14ac:dyDescent="0.3">
      <c r="A73" s="3" t="s">
        <v>157</v>
      </c>
      <c r="I73" s="33">
        <f>((SUM(J38:J65))-(I66-I37))</f>
        <v>0</v>
      </c>
    </row>
    <row r="75" spans="1:25" x14ac:dyDescent="0.3">
      <c r="B75" s="66"/>
      <c r="C75" s="66"/>
      <c r="D75" s="66"/>
      <c r="E75" s="66"/>
      <c r="G75" s="66"/>
      <c r="H75" s="66"/>
      <c r="I75" s="66"/>
    </row>
    <row r="76" spans="1:25" x14ac:dyDescent="0.3">
      <c r="B76" s="2"/>
      <c r="D76" s="2"/>
      <c r="E76" s="2"/>
      <c r="G76" s="2"/>
      <c r="H76" s="2"/>
      <c r="I76" s="2"/>
    </row>
  </sheetData>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77"/>
  <sheetViews>
    <sheetView topLeftCell="J45" zoomScaleNormal="100" workbookViewId="0">
      <selection activeCell="R64" sqref="R64"/>
    </sheetView>
  </sheetViews>
  <sheetFormatPr defaultColWidth="8.88671875" defaultRowHeight="14.4" x14ac:dyDescent="0.3"/>
  <cols>
    <col min="1" max="1" width="25.44140625" customWidth="1"/>
    <col min="2" max="4" width="9.33203125" bestFit="1" customWidth="1"/>
    <col min="5" max="5" width="9.5546875" bestFit="1" customWidth="1"/>
    <col min="7" max="7" width="9.88671875" bestFit="1" customWidth="1"/>
    <col min="8" max="8" width="9.33203125" bestFit="1" customWidth="1"/>
    <col min="9" max="9" width="10.6640625" customWidth="1"/>
    <col min="10" max="10" width="10" bestFit="1" customWidth="1"/>
    <col min="39" max="40" width="10.88671875" bestFit="1" customWidth="1"/>
    <col min="41" max="41" width="9.33203125" bestFit="1" customWidth="1"/>
    <col min="42" max="42" width="9.5546875" bestFit="1" customWidth="1"/>
    <col min="43" max="43" width="10.88671875" bestFit="1" customWidth="1"/>
    <col min="44" max="44" width="9.88671875" bestFit="1" customWidth="1"/>
    <col min="45" max="45" width="10.88671875" bestFit="1" customWidth="1"/>
    <col min="46" max="46" width="11.44140625" customWidth="1"/>
  </cols>
  <sheetData>
    <row r="1" spans="1:8" x14ac:dyDescent="0.3">
      <c r="A1" s="20" t="s">
        <v>53</v>
      </c>
    </row>
    <row r="2" spans="1:8" x14ac:dyDescent="0.3">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3">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row>
    <row r="4" spans="1:8" x14ac:dyDescent="0.3">
      <c r="A4" s="17">
        <f>'Non-Rebalanced Portfolio'!A4</f>
        <v>1988</v>
      </c>
      <c r="B4" s="17">
        <f>'Non-Rebalanced Portfolio'!B4</f>
        <v>16.22</v>
      </c>
      <c r="C4" s="17">
        <f>'Non-Rebalanced Portfolio'!C4</f>
        <v>19.747</v>
      </c>
      <c r="D4" s="17"/>
      <c r="E4" s="17"/>
      <c r="F4" s="17">
        <f>'Non-Rebalanced Portfolio'!F4</f>
        <v>18.777999999999999</v>
      </c>
      <c r="G4" s="17"/>
      <c r="H4" s="17">
        <f>'Non-Rebalanced Portfolio'!H4</f>
        <v>7.35</v>
      </c>
    </row>
    <row r="5" spans="1:8" x14ac:dyDescent="0.3">
      <c r="A5" s="17">
        <f>'Non-Rebalanced Portfolio'!A5</f>
        <v>1989</v>
      </c>
      <c r="B5" s="17">
        <f>'Non-Rebalanced Portfolio'!B5</f>
        <v>31.36</v>
      </c>
      <c r="C5" s="17">
        <f>'Non-Rebalanced Portfolio'!C5</f>
        <v>24.096</v>
      </c>
      <c r="D5" s="17"/>
      <c r="E5" s="17"/>
      <c r="F5" s="17">
        <f>'Non-Rebalanced Portfolio'!F5</f>
        <v>25.971</v>
      </c>
      <c r="G5" s="17"/>
      <c r="H5" s="17">
        <f>'Non-Rebalanced Portfolio'!H5</f>
        <v>13.64</v>
      </c>
    </row>
    <row r="6" spans="1:8" x14ac:dyDescent="0.3">
      <c r="A6" s="17">
        <f>'Non-Rebalanced Portfolio'!A6</f>
        <v>1990</v>
      </c>
      <c r="B6" s="17">
        <f>'Non-Rebalanced Portfolio'!B6</f>
        <v>-3.32</v>
      </c>
      <c r="C6" s="17">
        <f>'Non-Rebalanced Portfolio'!C6</f>
        <v>-14.045</v>
      </c>
      <c r="D6" s="17"/>
      <c r="E6" s="17"/>
      <c r="F6" s="17">
        <f>'Non-Rebalanced Portfolio'!F6</f>
        <v>-12.26</v>
      </c>
      <c r="G6" s="17"/>
      <c r="H6" s="17">
        <f>'Non-Rebalanced Portfolio'!H6</f>
        <v>8.65</v>
      </c>
    </row>
    <row r="7" spans="1:8" x14ac:dyDescent="0.3">
      <c r="A7" s="17">
        <f>'Non-Rebalanced Portfolio'!A7</f>
        <v>1991</v>
      </c>
      <c r="B7" s="17">
        <f>'Non-Rebalanced Portfolio'!B7</f>
        <v>30.22</v>
      </c>
      <c r="C7" s="17">
        <f>'Non-Rebalanced Portfolio'!C7</f>
        <v>41.85</v>
      </c>
      <c r="D7" s="17"/>
      <c r="E7" s="17"/>
      <c r="F7" s="17">
        <f>'Non-Rebalanced Portfolio'!F7</f>
        <v>9.9559999999999995</v>
      </c>
      <c r="G7" s="17"/>
      <c r="H7" s="17">
        <f>'Non-Rebalanced Portfolio'!H7</f>
        <v>15.25</v>
      </c>
    </row>
    <row r="8" spans="1:8" x14ac:dyDescent="0.3">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row>
    <row r="9" spans="1:8" x14ac:dyDescent="0.3">
      <c r="A9" s="17">
        <f>'Non-Rebalanced Portfolio'!A9</f>
        <v>1993</v>
      </c>
      <c r="B9" s="17">
        <f>'Non-Rebalanced Portfolio'!B9</f>
        <v>9.89</v>
      </c>
      <c r="C9" s="17">
        <f>'Non-Rebalanced Portfolio'!C9</f>
        <v>14.49</v>
      </c>
      <c r="D9" s="17"/>
      <c r="E9" s="17"/>
      <c r="F9" s="17">
        <f>'Non-Rebalanced Portfolio'!F9</f>
        <v>30.494</v>
      </c>
      <c r="G9" s="17"/>
      <c r="H9" s="17">
        <f>'Non-Rebalanced Portfolio'!H9</f>
        <v>9.68</v>
      </c>
    </row>
    <row r="10" spans="1:8" x14ac:dyDescent="0.3">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row>
    <row r="11" spans="1:8" x14ac:dyDescent="0.3">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row>
    <row r="12" spans="1:8" x14ac:dyDescent="0.3">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row>
    <row r="13" spans="1:8" x14ac:dyDescent="0.3">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row>
    <row r="14" spans="1:8" x14ac:dyDescent="0.3">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row>
    <row r="15" spans="1:8" x14ac:dyDescent="0.3">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row>
    <row r="16" spans="1:8" x14ac:dyDescent="0.3">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row>
    <row r="17" spans="1:8" x14ac:dyDescent="0.3">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row>
    <row r="18" spans="1:8" x14ac:dyDescent="0.3">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row>
    <row r="19" spans="1:8" x14ac:dyDescent="0.3">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row>
    <row r="20" spans="1:8" x14ac:dyDescent="0.3">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row>
    <row r="21" spans="1:8" x14ac:dyDescent="0.3">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row>
    <row r="22" spans="1:8" x14ac:dyDescent="0.3">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row>
    <row r="23" spans="1:8" x14ac:dyDescent="0.3">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row>
    <row r="24" spans="1:8" x14ac:dyDescent="0.3">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row>
    <row r="25" spans="1:8" x14ac:dyDescent="0.3">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row>
    <row r="26" spans="1:8" x14ac:dyDescent="0.3">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row>
    <row r="27" spans="1:8" x14ac:dyDescent="0.3">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row>
    <row r="28" spans="1:8" x14ac:dyDescent="0.3">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row>
    <row r="29" spans="1:8" x14ac:dyDescent="0.3">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row>
    <row r="30" spans="1:8" x14ac:dyDescent="0.3">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row>
    <row r="31" spans="1:8" x14ac:dyDescent="0.3">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row>
    <row r="34" spans="1:47" x14ac:dyDescent="0.3">
      <c r="A34" s="20" t="s">
        <v>120</v>
      </c>
      <c r="O34" s="20" t="s">
        <v>130</v>
      </c>
      <c r="AB34" s="20" t="s">
        <v>19</v>
      </c>
      <c r="AL34" s="20" t="s">
        <v>22</v>
      </c>
    </row>
    <row r="35" spans="1:47" x14ac:dyDescent="0.3">
      <c r="B35" s="4" t="str">
        <f t="shared" ref="B35:H36" si="0">B2</f>
        <v>LC Stocks</v>
      </c>
      <c r="C35" s="4" t="str">
        <f t="shared" si="0"/>
        <v>Ext Mkt</v>
      </c>
      <c r="D35" s="4" t="str">
        <f t="shared" si="0"/>
        <v>Mcap Stk</v>
      </c>
      <c r="E35" s="4" t="str">
        <f t="shared" si="0"/>
        <v>Small Cap</v>
      </c>
      <c r="F35" s="4" t="str">
        <f t="shared" si="0"/>
        <v>Intl Val</v>
      </c>
      <c r="G35" s="4" t="str">
        <f t="shared" si="0"/>
        <v>Tot Int Stk</v>
      </c>
      <c r="H35" s="4" t="str">
        <f t="shared" si="0"/>
        <v>Bonds</v>
      </c>
      <c r="I35" s="5"/>
      <c r="J35" s="5" t="s">
        <v>80</v>
      </c>
      <c r="K35" s="5" t="s">
        <v>77</v>
      </c>
      <c r="L35" s="5" t="s">
        <v>78</v>
      </c>
      <c r="P35" s="4" t="str">
        <f>B35</f>
        <v>LC Stocks</v>
      </c>
      <c r="Q35" s="4" t="str">
        <f t="shared" ref="Q35:V36" si="1">C35</f>
        <v>Ext Mkt</v>
      </c>
      <c r="R35" s="4" t="str">
        <f t="shared" si="1"/>
        <v>Mcap Stk</v>
      </c>
      <c r="S35" s="4" t="str">
        <f t="shared" si="1"/>
        <v>Small Cap</v>
      </c>
      <c r="T35" s="4" t="str">
        <f t="shared" si="1"/>
        <v>Intl Val</v>
      </c>
      <c r="U35" s="4" t="str">
        <f t="shared" si="1"/>
        <v>Tot Int Stk</v>
      </c>
      <c r="V35" s="4" t="str">
        <f t="shared" si="1"/>
        <v>Bonds</v>
      </c>
      <c r="W35" s="5"/>
      <c r="X35" s="5" t="s">
        <v>115</v>
      </c>
      <c r="Y35" s="3" t="s">
        <v>116</v>
      </c>
      <c r="Z35" s="65"/>
      <c r="AC35" s="4" t="str">
        <f t="shared" ref="AC35:AI37" si="2">P35</f>
        <v>LC Stocks</v>
      </c>
      <c r="AD35" s="4" t="str">
        <f t="shared" si="2"/>
        <v>Ext Mkt</v>
      </c>
      <c r="AE35" s="4" t="str">
        <f t="shared" si="2"/>
        <v>Mcap Stk</v>
      </c>
      <c r="AF35" s="4" t="str">
        <f t="shared" si="2"/>
        <v>Small Cap</v>
      </c>
      <c r="AG35" s="4" t="str">
        <f t="shared" si="2"/>
        <v>Intl Val</v>
      </c>
      <c r="AH35" s="4" t="str">
        <f t="shared" si="2"/>
        <v>Tot Int Stk</v>
      </c>
      <c r="AI35" s="4" t="str">
        <f t="shared" si="2"/>
        <v>Bonds</v>
      </c>
      <c r="AJ35" s="5"/>
      <c r="AM35" s="4" t="str">
        <f>AC35</f>
        <v>LC Stocks</v>
      </c>
      <c r="AN35" s="4" t="str">
        <f t="shared" ref="AN35:AT37" si="3">AD35</f>
        <v>Ext Mkt</v>
      </c>
      <c r="AO35" s="4" t="str">
        <f t="shared" si="3"/>
        <v>Mcap Stk</v>
      </c>
      <c r="AP35" s="4" t="str">
        <f t="shared" si="3"/>
        <v>Small Cap</v>
      </c>
      <c r="AQ35" s="4" t="str">
        <f t="shared" si="3"/>
        <v>Intl Val</v>
      </c>
      <c r="AR35" s="4" t="str">
        <f t="shared" si="3"/>
        <v>Tot Int Stk</v>
      </c>
      <c r="AS35" s="4" t="str">
        <f t="shared" si="3"/>
        <v>Bonds</v>
      </c>
      <c r="AT35" s="4"/>
      <c r="AU35" t="s">
        <v>92</v>
      </c>
    </row>
    <row r="36" spans="1:47" x14ac:dyDescent="0.3">
      <c r="A36" t="s">
        <v>76</v>
      </c>
      <c r="B36" s="4" t="str">
        <f t="shared" si="0"/>
        <v>VFINX</v>
      </c>
      <c r="C36" s="4" t="str">
        <f t="shared" si="0"/>
        <v>VEXMX</v>
      </c>
      <c r="D36" s="4" t="str">
        <f t="shared" si="0"/>
        <v>VIMSX</v>
      </c>
      <c r="E36" s="4" t="str">
        <f t="shared" si="0"/>
        <v>NAESX</v>
      </c>
      <c r="F36" s="4" t="str">
        <f t="shared" si="0"/>
        <v>VTRIX</v>
      </c>
      <c r="G36" s="4" t="str">
        <f t="shared" si="0"/>
        <v>VGTSX</v>
      </c>
      <c r="H36" s="4" t="str">
        <f t="shared" si="0"/>
        <v>VBMFX</v>
      </c>
      <c r="I36" s="5" t="s">
        <v>74</v>
      </c>
      <c r="J36" s="5" t="s">
        <v>81</v>
      </c>
      <c r="K36" s="5" t="s">
        <v>79</v>
      </c>
      <c r="L36" s="5" t="s">
        <v>79</v>
      </c>
      <c r="O36" t="s">
        <v>76</v>
      </c>
      <c r="P36" s="4" t="str">
        <f>B36</f>
        <v>VFINX</v>
      </c>
      <c r="Q36" s="4" t="str">
        <f t="shared" si="1"/>
        <v>VEXMX</v>
      </c>
      <c r="R36" s="4" t="str">
        <f t="shared" si="1"/>
        <v>VIMSX</v>
      </c>
      <c r="S36" s="4" t="str">
        <f t="shared" si="1"/>
        <v>NAESX</v>
      </c>
      <c r="T36" s="4" t="str">
        <f t="shared" si="1"/>
        <v>VTRIX</v>
      </c>
      <c r="U36" s="4" t="str">
        <f t="shared" si="1"/>
        <v>VGTSX</v>
      </c>
      <c r="V36" s="4" t="str">
        <f t="shared" si="1"/>
        <v>VBMFX</v>
      </c>
      <c r="W36" s="5" t="s">
        <v>74</v>
      </c>
      <c r="X36" s="5" t="s">
        <v>116</v>
      </c>
      <c r="Y36" s="3" t="s">
        <v>91</v>
      </c>
      <c r="Z36" s="65"/>
      <c r="AB36" t="str">
        <f>O36</f>
        <v>Fund</v>
      </c>
      <c r="AC36" s="4" t="str">
        <f t="shared" si="2"/>
        <v>VFINX</v>
      </c>
      <c r="AD36" s="4" t="str">
        <f t="shared" si="2"/>
        <v>VEXMX</v>
      </c>
      <c r="AE36" s="4" t="str">
        <f t="shared" si="2"/>
        <v>VIMSX</v>
      </c>
      <c r="AF36" s="4" t="str">
        <f t="shared" si="2"/>
        <v>NAESX</v>
      </c>
      <c r="AG36" s="4" t="str">
        <f t="shared" si="2"/>
        <v>VTRIX</v>
      </c>
      <c r="AH36" s="4" t="str">
        <f t="shared" si="2"/>
        <v>VGTSX</v>
      </c>
      <c r="AI36" s="4" t="str">
        <f t="shared" si="2"/>
        <v>VBMFX</v>
      </c>
      <c r="AJ36" s="4" t="str">
        <f>W36</f>
        <v>Total</v>
      </c>
      <c r="AL36" t="s">
        <v>76</v>
      </c>
      <c r="AM36" s="4" t="str">
        <f>AC36</f>
        <v>VFINX</v>
      </c>
      <c r="AN36" s="4" t="str">
        <f t="shared" si="3"/>
        <v>VEXMX</v>
      </c>
      <c r="AO36" s="4" t="str">
        <f t="shared" si="3"/>
        <v>VIMSX</v>
      </c>
      <c r="AP36" s="4" t="str">
        <f t="shared" si="3"/>
        <v>NAESX</v>
      </c>
      <c r="AQ36" s="4" t="str">
        <f t="shared" si="3"/>
        <v>VTRIX</v>
      </c>
      <c r="AR36" s="4" t="str">
        <f t="shared" si="3"/>
        <v>VGTSX</v>
      </c>
      <c r="AS36" s="4" t="str">
        <f t="shared" si="3"/>
        <v>VBMFX</v>
      </c>
      <c r="AT36" s="4" t="str">
        <f t="shared" si="3"/>
        <v>Total</v>
      </c>
      <c r="AU36" t="s">
        <v>91</v>
      </c>
    </row>
    <row r="37" spans="1:47" x14ac:dyDescent="0.3">
      <c r="A37" t="s">
        <v>75</v>
      </c>
      <c r="B37" s="2">
        <f>'Non-Rebalanced Portfolio'!B37</f>
        <v>20000</v>
      </c>
      <c r="C37" s="2">
        <f>'Non-Rebalanced Portfolio'!C37</f>
        <v>30000</v>
      </c>
      <c r="F37" s="2">
        <f>'Non-Rebalanced Portfolio'!F37</f>
        <v>20000</v>
      </c>
      <c r="H37" s="2">
        <f>'Non-Rebalanced Portfolio'!H37</f>
        <v>30000</v>
      </c>
      <c r="I37" s="2">
        <f>SUM(B37:H37)</f>
        <v>100000</v>
      </c>
      <c r="O37" s="21" t="s">
        <v>90</v>
      </c>
      <c r="P37" s="22">
        <f>B37/$I37</f>
        <v>0.2</v>
      </c>
      <c r="Q37" s="22">
        <f>C37/$I37</f>
        <v>0.3</v>
      </c>
      <c r="R37" s="57">
        <f>'Non-Rebalanced Portfolio'!R37</f>
        <v>0.2</v>
      </c>
      <c r="S37" s="57">
        <f>'Non-Rebalanced Portfolio'!S37</f>
        <v>0.1</v>
      </c>
      <c r="T37" s="22">
        <f>F37/$I37</f>
        <v>0.2</v>
      </c>
      <c r="U37" s="57">
        <f>'Non-Rebalanced Portfolio'!U37</f>
        <v>0.2</v>
      </c>
      <c r="V37" s="22">
        <f>H37/$I37</f>
        <v>0.3</v>
      </c>
      <c r="W37" s="22">
        <f>I37/$I37</f>
        <v>1</v>
      </c>
      <c r="X37" s="24"/>
      <c r="Z37" s="22"/>
      <c r="AB37" s="21" t="str">
        <f>O37</f>
        <v>Target Allocation</v>
      </c>
      <c r="AC37" s="24">
        <f t="shared" si="2"/>
        <v>0.2</v>
      </c>
      <c r="AD37" s="24">
        <f t="shared" si="2"/>
        <v>0.3</v>
      </c>
      <c r="AE37" s="25">
        <f t="shared" si="2"/>
        <v>0.2</v>
      </c>
      <c r="AF37" s="25">
        <f t="shared" si="2"/>
        <v>0.1</v>
      </c>
      <c r="AG37" s="24">
        <f t="shared" si="2"/>
        <v>0.2</v>
      </c>
      <c r="AH37" s="25">
        <f t="shared" si="2"/>
        <v>0.2</v>
      </c>
      <c r="AI37" s="24">
        <f t="shared" si="2"/>
        <v>0.3</v>
      </c>
      <c r="AJ37" s="24">
        <f>W37</f>
        <v>1</v>
      </c>
      <c r="AL37" s="21" t="str">
        <f>AB37</f>
        <v>Target Allocation</v>
      </c>
      <c r="AM37" s="24">
        <f>AC37</f>
        <v>0.2</v>
      </c>
      <c r="AN37" s="24">
        <f t="shared" si="3"/>
        <v>0.3</v>
      </c>
      <c r="AO37" s="25">
        <f t="shared" si="3"/>
        <v>0.2</v>
      </c>
      <c r="AP37" s="25">
        <f t="shared" si="3"/>
        <v>0.1</v>
      </c>
      <c r="AQ37" s="24">
        <f t="shared" si="3"/>
        <v>0.2</v>
      </c>
      <c r="AR37" s="25">
        <f t="shared" si="3"/>
        <v>0.2</v>
      </c>
      <c r="AS37" s="24">
        <f t="shared" si="3"/>
        <v>0.3</v>
      </c>
      <c r="AT37" s="24">
        <f t="shared" si="3"/>
        <v>1</v>
      </c>
      <c r="AU37" s="2"/>
    </row>
    <row r="38" spans="1:47" x14ac:dyDescent="0.3">
      <c r="A38">
        <f t="shared" ref="A38:A65" si="4">A4</f>
        <v>1988</v>
      </c>
      <c r="B38" s="2">
        <f>B37*(1+(B4/100))</f>
        <v>23243.999999999996</v>
      </c>
      <c r="C38" s="2">
        <f>C37*(1+(C4/100))</f>
        <v>35924.1</v>
      </c>
      <c r="D38" s="2"/>
      <c r="E38" s="2"/>
      <c r="F38" s="2">
        <f>F37*(1+(F4/100))</f>
        <v>23755.600000000002</v>
      </c>
      <c r="G38" s="2"/>
      <c r="H38" s="2">
        <f>H37*(1+(H4/100))</f>
        <v>32204.999999999996</v>
      </c>
      <c r="I38" s="2">
        <f>SUM(B38:H38)</f>
        <v>115128.7</v>
      </c>
      <c r="J38" s="2">
        <f>I38-I37</f>
        <v>15128.699999999997</v>
      </c>
      <c r="K38" s="6">
        <f>(J38/I37)</f>
        <v>0.15128699999999998</v>
      </c>
      <c r="L38" s="7">
        <f>K38+1</f>
        <v>1.1512869999999999</v>
      </c>
      <c r="O38">
        <f>A38</f>
        <v>1988</v>
      </c>
      <c r="P38" s="6">
        <f t="shared" ref="P38:U62" si="5">B38/$I38</f>
        <v>0.2018957914056182</v>
      </c>
      <c r="Q38" s="6">
        <f t="shared" ref="Q38:Q48" si="6">C38/$I38</f>
        <v>0.31203427121126182</v>
      </c>
      <c r="R38" s="7"/>
      <c r="S38" s="7"/>
      <c r="T38" s="6">
        <f t="shared" ref="T38:T46" si="7">F38/$I38</f>
        <v>0.20633951395264608</v>
      </c>
      <c r="U38" s="7"/>
      <c r="V38" s="6">
        <f t="shared" ref="V38:V62" si="8">H38/$I38</f>
        <v>0.27973042343047388</v>
      </c>
      <c r="W38" s="6">
        <f>SUM(P38:V38)</f>
        <v>1</v>
      </c>
      <c r="X38" s="7">
        <f>SUM(P38:U38)</f>
        <v>0.72026957656952606</v>
      </c>
      <c r="Y38" s="7">
        <f>W38-(X38+V38)</f>
        <v>0</v>
      </c>
      <c r="Z38" s="6"/>
      <c r="AB38">
        <f>O38</f>
        <v>1988</v>
      </c>
      <c r="AC38" s="1" t="b">
        <f>AND((B38/$I38)&gt;0.15,(B38/$I38)&lt;0.25)</f>
        <v>1</v>
      </c>
      <c r="AD38" s="1" t="b">
        <f>AND((C38/$I38)&gt;0.25,(C38/$I38)&lt;0.35)</f>
        <v>1</v>
      </c>
      <c r="AG38" s="1" t="b">
        <f t="shared" ref="AG38:AG46" si="9">AND((F38/$I38)&gt;0.15,(F38/$I38)&lt;0.25)</f>
        <v>1</v>
      </c>
      <c r="AI38" s="1" t="b">
        <f>AND((H38/$I38)&gt;0.25,(H38/$I38)&lt;0.35)</f>
        <v>1</v>
      </c>
      <c r="AJ38" s="1" t="b">
        <f>AND((I38/$I38)&gt;0.999,(I38/$I38)&lt;1.01)</f>
        <v>1</v>
      </c>
      <c r="AL38">
        <f>A38</f>
        <v>1988</v>
      </c>
      <c r="AM38" s="2">
        <f>B38</f>
        <v>23243.999999999996</v>
      </c>
      <c r="AN38" s="2">
        <f t="shared" ref="AN38:AN47" si="10">C38</f>
        <v>35924.1</v>
      </c>
      <c r="AO38" s="2"/>
      <c r="AP38" s="2"/>
      <c r="AQ38" s="2">
        <f t="shared" ref="AQ38:AQ45" si="11">F38</f>
        <v>23755.600000000002</v>
      </c>
      <c r="AR38" s="2"/>
      <c r="AS38" s="2">
        <f t="shared" ref="AS38:AS62" si="12">H38</f>
        <v>32204.999999999996</v>
      </c>
      <c r="AT38" s="2">
        <f>SUM(AM38:AS38)</f>
        <v>115128.7</v>
      </c>
      <c r="AU38" s="2">
        <f>AT38-I38</f>
        <v>0</v>
      </c>
    </row>
    <row r="39" spans="1:47" x14ac:dyDescent="0.3">
      <c r="A39">
        <f t="shared" si="4"/>
        <v>1989</v>
      </c>
      <c r="B39" s="2">
        <f t="shared" ref="B39:C42" si="13">AM38*(1+(B5/100))</f>
        <v>30533.318399999996</v>
      </c>
      <c r="C39" s="2">
        <f t="shared" si="13"/>
        <v>44580.371136000002</v>
      </c>
      <c r="D39" s="2"/>
      <c r="E39" s="2"/>
      <c r="F39" s="2">
        <f t="shared" ref="F39:F46" si="14">AQ38*(1+(F5/100))</f>
        <v>29925.166876000007</v>
      </c>
      <c r="G39" s="2"/>
      <c r="H39" s="2">
        <f>AS38*(1+(H5/100))</f>
        <v>36597.761999999995</v>
      </c>
      <c r="I39" s="2">
        <f t="shared" ref="I39:I62" si="15">SUM(B39:H39)</f>
        <v>141636.61841199998</v>
      </c>
      <c r="J39" s="2">
        <f t="shared" ref="J39:J65" si="16">I39-I38</f>
        <v>26507.918411999985</v>
      </c>
      <c r="K39" s="6">
        <f t="shared" ref="K39:K62" si="17">(J39/I38)</f>
        <v>0.23024596310042575</v>
      </c>
      <c r="L39" s="7">
        <f t="shared" ref="L39:L62" si="18">K39+1</f>
        <v>1.2302459631004257</v>
      </c>
      <c r="O39">
        <f t="shared" ref="O39:O62" si="19">A39</f>
        <v>1989</v>
      </c>
      <c r="P39" s="6">
        <f t="shared" si="5"/>
        <v>0.2155750309653898</v>
      </c>
      <c r="Q39" s="6">
        <f t="shared" si="6"/>
        <v>0.314751733244028</v>
      </c>
      <c r="R39" s="7"/>
      <c r="S39" s="7"/>
      <c r="T39" s="6">
        <f t="shared" si="7"/>
        <v>0.21128128595214071</v>
      </c>
      <c r="U39" s="7"/>
      <c r="V39" s="6">
        <f t="shared" si="8"/>
        <v>0.2583919498384416</v>
      </c>
      <c r="W39" s="6">
        <f t="shared" ref="W39:W62" si="20">SUM(P39:V39)</f>
        <v>1</v>
      </c>
      <c r="X39" s="7">
        <f t="shared" ref="X39:X62" si="21">SUM(P39:U39)</f>
        <v>0.74160805016155851</v>
      </c>
      <c r="Y39" s="7">
        <f t="shared" ref="Y39:Y62" si="22">W39-(X39+V39)</f>
        <v>0</v>
      </c>
      <c r="Z39" s="6"/>
      <c r="AB39">
        <f t="shared" ref="AB39:AB62" si="23">O39</f>
        <v>1989</v>
      </c>
      <c r="AC39" s="1" t="b">
        <f t="shared" ref="AC39:AC62" si="24">AND((B39/$I39)&gt;0.15,(B39/$I39)&lt;0.25)</f>
        <v>1</v>
      </c>
      <c r="AD39" s="1" t="b">
        <f t="shared" ref="AD39:AD48" si="25">AND((C39/$I39)&gt;0.25,(C39/$I39)&lt;0.35)</f>
        <v>1</v>
      </c>
      <c r="AG39" s="1" t="b">
        <f t="shared" si="9"/>
        <v>1</v>
      </c>
      <c r="AI39" s="1" t="b">
        <f t="shared" ref="AI39:AI62" si="26">AND((H39/$I39)&gt;0.25,(H39/$I39)&lt;0.35)</f>
        <v>1</v>
      </c>
      <c r="AJ39" s="1" t="b">
        <f t="shared" ref="AJ39:AJ62" si="27">AND((I39/$I39)&gt;0.999,(I39/$I39)&lt;1.01)</f>
        <v>1</v>
      </c>
      <c r="AL39">
        <f t="shared" ref="AL39:AL62" si="28">A39</f>
        <v>1989</v>
      </c>
      <c r="AM39" s="2">
        <f>B39</f>
        <v>30533.318399999996</v>
      </c>
      <c r="AN39" s="2">
        <f t="shared" si="10"/>
        <v>44580.371136000002</v>
      </c>
      <c r="AO39" s="2"/>
      <c r="AP39" s="2"/>
      <c r="AQ39" s="2">
        <f t="shared" si="11"/>
        <v>29925.166876000007</v>
      </c>
      <c r="AR39" s="2"/>
      <c r="AS39" s="2">
        <f t="shared" si="12"/>
        <v>36597.761999999995</v>
      </c>
      <c r="AT39" s="2">
        <f t="shared" ref="AT39:AT62" si="29">I39</f>
        <v>141636.61841199998</v>
      </c>
      <c r="AU39" s="2">
        <f t="shared" ref="AU39:AU64" si="30">AT39-I39</f>
        <v>0</v>
      </c>
    </row>
    <row r="40" spans="1:47" x14ac:dyDescent="0.3">
      <c r="A40">
        <f t="shared" si="4"/>
        <v>1990</v>
      </c>
      <c r="B40" s="2">
        <f t="shared" si="13"/>
        <v>29519.612229119997</v>
      </c>
      <c r="C40" s="2">
        <f t="shared" si="13"/>
        <v>38319.0580099488</v>
      </c>
      <c r="D40" s="2"/>
      <c r="E40" s="2"/>
      <c r="F40" s="2">
        <f t="shared" si="14"/>
        <v>26256.341417002404</v>
      </c>
      <c r="G40" s="2"/>
      <c r="H40" s="2">
        <f>AS39*(1+(H6/100))</f>
        <v>39763.468412999995</v>
      </c>
      <c r="I40" s="2">
        <f t="shared" ref="I40:I46" si="31">SUM(B40:H40)</f>
        <v>133858.4800690712</v>
      </c>
      <c r="J40" s="2">
        <f t="shared" si="16"/>
        <v>-7778.1383429287816</v>
      </c>
      <c r="K40" s="6">
        <f t="shared" si="17"/>
        <v>-5.4916153958881789E-2</v>
      </c>
      <c r="L40" s="7">
        <f t="shared" si="18"/>
        <v>0.94508384604111817</v>
      </c>
      <c r="O40">
        <f t="shared" si="19"/>
        <v>1990</v>
      </c>
      <c r="P40" s="6">
        <f t="shared" si="5"/>
        <v>0.22052851798322995</v>
      </c>
      <c r="Q40" s="6">
        <f t="shared" si="6"/>
        <v>0.28626544982563751</v>
      </c>
      <c r="R40" s="7"/>
      <c r="S40" s="7"/>
      <c r="T40" s="6">
        <f t="shared" si="7"/>
        <v>0.19615000411967989</v>
      </c>
      <c r="U40" s="7"/>
      <c r="V40" s="6">
        <f t="shared" si="8"/>
        <v>0.29705602807145259</v>
      </c>
      <c r="W40" s="6">
        <f t="shared" si="20"/>
        <v>0.99999999999999989</v>
      </c>
      <c r="X40" s="7">
        <f t="shared" si="21"/>
        <v>0.7029439719285473</v>
      </c>
      <c r="Y40" s="7">
        <f t="shared" si="22"/>
        <v>0</v>
      </c>
      <c r="Z40" s="6"/>
      <c r="AB40">
        <f t="shared" si="23"/>
        <v>1990</v>
      </c>
      <c r="AC40" s="1" t="b">
        <f t="shared" si="24"/>
        <v>1</v>
      </c>
      <c r="AD40" s="1" t="b">
        <f t="shared" si="25"/>
        <v>1</v>
      </c>
      <c r="AG40" s="1" t="b">
        <f t="shared" si="9"/>
        <v>1</v>
      </c>
      <c r="AI40" s="1" t="b">
        <f t="shared" si="26"/>
        <v>1</v>
      </c>
      <c r="AJ40" s="1" t="b">
        <f t="shared" si="27"/>
        <v>1</v>
      </c>
      <c r="AL40">
        <f t="shared" si="28"/>
        <v>1990</v>
      </c>
      <c r="AM40" s="2">
        <f>B40</f>
        <v>29519.612229119997</v>
      </c>
      <c r="AN40" s="2">
        <f t="shared" si="10"/>
        <v>38319.0580099488</v>
      </c>
      <c r="AO40" s="2"/>
      <c r="AP40" s="2"/>
      <c r="AQ40" s="2">
        <f t="shared" si="11"/>
        <v>26256.341417002404</v>
      </c>
      <c r="AR40" s="2"/>
      <c r="AS40" s="2">
        <f t="shared" si="12"/>
        <v>39763.468412999995</v>
      </c>
      <c r="AT40" s="2">
        <f t="shared" si="29"/>
        <v>133858.4800690712</v>
      </c>
      <c r="AU40" s="2">
        <f t="shared" si="30"/>
        <v>0</v>
      </c>
    </row>
    <row r="41" spans="1:47" x14ac:dyDescent="0.3">
      <c r="A41">
        <f t="shared" si="4"/>
        <v>1991</v>
      </c>
      <c r="B41" s="2">
        <f t="shared" si="13"/>
        <v>38440.43904476006</v>
      </c>
      <c r="C41" s="2">
        <f t="shared" si="13"/>
        <v>54355.583787112373</v>
      </c>
      <c r="D41" s="2"/>
      <c r="E41" s="2"/>
      <c r="F41" s="2">
        <f t="shared" si="14"/>
        <v>28870.422768479166</v>
      </c>
      <c r="G41" s="2"/>
      <c r="H41" s="2">
        <f>AS40*(1+(H7/100))</f>
        <v>45827.397345982499</v>
      </c>
      <c r="I41" s="2">
        <f t="shared" si="31"/>
        <v>167493.8429463341</v>
      </c>
      <c r="J41" s="2">
        <f t="shared" si="16"/>
        <v>33635.362877262902</v>
      </c>
      <c r="K41" s="6">
        <f t="shared" si="17"/>
        <v>0.25127554757761328</v>
      </c>
      <c r="L41" s="7">
        <f t="shared" si="18"/>
        <v>1.2512755475776132</v>
      </c>
      <c r="O41">
        <f t="shared" si="19"/>
        <v>1991</v>
      </c>
      <c r="P41" s="6">
        <f t="shared" si="5"/>
        <v>0.22950359469080053</v>
      </c>
      <c r="Q41" s="6">
        <f t="shared" si="6"/>
        <v>0.32452287696645771</v>
      </c>
      <c r="R41" s="7"/>
      <c r="S41" s="7"/>
      <c r="T41" s="6">
        <f t="shared" si="7"/>
        <v>0.1723670689061054</v>
      </c>
      <c r="U41" s="7"/>
      <c r="V41" s="6">
        <f t="shared" si="8"/>
        <v>0.27360645943663636</v>
      </c>
      <c r="W41" s="6">
        <f t="shared" si="20"/>
        <v>1</v>
      </c>
      <c r="X41" s="7">
        <f t="shared" si="21"/>
        <v>0.72639354056336369</v>
      </c>
      <c r="Y41" s="7">
        <f t="shared" si="22"/>
        <v>0</v>
      </c>
      <c r="Z41" s="6"/>
      <c r="AB41">
        <f t="shared" si="23"/>
        <v>1991</v>
      </c>
      <c r="AC41" s="1" t="b">
        <f t="shared" si="24"/>
        <v>1</v>
      </c>
      <c r="AD41" s="1" t="b">
        <f t="shared" si="25"/>
        <v>1</v>
      </c>
      <c r="AG41" s="1" t="b">
        <f t="shared" si="9"/>
        <v>1</v>
      </c>
      <c r="AI41" s="1" t="b">
        <f t="shared" si="26"/>
        <v>1</v>
      </c>
      <c r="AJ41" s="1" t="b">
        <f t="shared" si="27"/>
        <v>1</v>
      </c>
      <c r="AL41">
        <f t="shared" si="28"/>
        <v>1991</v>
      </c>
      <c r="AM41" s="2">
        <f>B41</f>
        <v>38440.43904476006</v>
      </c>
      <c r="AN41" s="2">
        <f t="shared" si="10"/>
        <v>54355.583787112373</v>
      </c>
      <c r="AO41" s="2"/>
      <c r="AP41" s="2"/>
      <c r="AQ41" s="2">
        <f t="shared" si="11"/>
        <v>28870.422768479166</v>
      </c>
      <c r="AR41" s="2"/>
      <c r="AS41" s="2">
        <f t="shared" si="12"/>
        <v>45827.397345982499</v>
      </c>
      <c r="AT41" s="2">
        <f t="shared" si="29"/>
        <v>167493.8429463341</v>
      </c>
      <c r="AU41" s="2">
        <f t="shared" si="30"/>
        <v>0</v>
      </c>
    </row>
    <row r="42" spans="1:47" x14ac:dyDescent="0.3">
      <c r="A42">
        <f t="shared" si="4"/>
        <v>1992</v>
      </c>
      <c r="B42" s="2">
        <f t="shared" si="13"/>
        <v>41292.719621881261</v>
      </c>
      <c r="C42" s="2">
        <f t="shared" si="13"/>
        <v>61131.550862013799</v>
      </c>
      <c r="D42" s="2"/>
      <c r="E42" s="2"/>
      <c r="F42" s="2">
        <f t="shared" si="14"/>
        <v>26352.633198840096</v>
      </c>
      <c r="G42" s="2"/>
      <c r="H42" s="2">
        <f>AS41*(1+(H8/100))</f>
        <v>49099.473516485647</v>
      </c>
      <c r="I42" s="2">
        <f t="shared" si="31"/>
        <v>177876.37719922079</v>
      </c>
      <c r="J42" s="2">
        <f t="shared" si="16"/>
        <v>10382.53425288669</v>
      </c>
      <c r="K42" s="6">
        <f t="shared" si="17"/>
        <v>6.1987557693170298E-2</v>
      </c>
      <c r="L42" s="7">
        <f t="shared" si="18"/>
        <v>1.0619875576931703</v>
      </c>
      <c r="O42">
        <f t="shared" si="19"/>
        <v>1992</v>
      </c>
      <c r="P42" s="6">
        <f t="shared" si="5"/>
        <v>0.23214279643009364</v>
      </c>
      <c r="Q42" s="6">
        <f t="shared" si="6"/>
        <v>0.343674364322963</v>
      </c>
      <c r="R42" s="7"/>
      <c r="S42" s="7"/>
      <c r="T42" s="38">
        <f t="shared" si="7"/>
        <v>0.14815139375885342</v>
      </c>
      <c r="U42" s="7"/>
      <c r="V42" s="6">
        <f t="shared" si="8"/>
        <v>0.27603144548809</v>
      </c>
      <c r="W42" s="6">
        <f t="shared" si="20"/>
        <v>1</v>
      </c>
      <c r="X42" s="7">
        <f t="shared" si="21"/>
        <v>0.72396855451191011</v>
      </c>
      <c r="Y42" s="7">
        <f t="shared" si="22"/>
        <v>0</v>
      </c>
      <c r="Z42" s="6"/>
      <c r="AB42">
        <f t="shared" si="23"/>
        <v>1992</v>
      </c>
      <c r="AC42" s="1" t="b">
        <f t="shared" si="24"/>
        <v>1</v>
      </c>
      <c r="AD42" s="1" t="b">
        <f t="shared" si="25"/>
        <v>1</v>
      </c>
      <c r="AG42" s="39" t="b">
        <f t="shared" si="9"/>
        <v>0</v>
      </c>
      <c r="AI42" s="1" t="b">
        <f t="shared" si="26"/>
        <v>1</v>
      </c>
      <c r="AJ42" s="1" t="b">
        <f t="shared" si="27"/>
        <v>1</v>
      </c>
      <c r="AL42">
        <f t="shared" si="28"/>
        <v>1992</v>
      </c>
      <c r="AM42" s="40">
        <f>AM$37*$AT42</f>
        <v>35575.275439844161</v>
      </c>
      <c r="AN42" s="40">
        <f>AN$37*$AT42</f>
        <v>53362.913159766234</v>
      </c>
      <c r="AO42" s="2"/>
      <c r="AP42" s="2"/>
      <c r="AQ42" s="40">
        <f>AQ37*$AT42</f>
        <v>35575.275439844161</v>
      </c>
      <c r="AR42" s="2"/>
      <c r="AS42" s="40">
        <f>AS$37*$AT42</f>
        <v>53362.913159766234</v>
      </c>
      <c r="AT42" s="2">
        <f t="shared" si="29"/>
        <v>177876.37719922079</v>
      </c>
      <c r="AU42" s="2">
        <f t="shared" si="30"/>
        <v>0</v>
      </c>
    </row>
    <row r="43" spans="1:47" x14ac:dyDescent="0.3">
      <c r="A43">
        <f t="shared" si="4"/>
        <v>1993</v>
      </c>
      <c r="B43" s="2">
        <f t="shared" ref="B43" si="32">AM42*(1+(B9/100))</f>
        <v>39093.670180844747</v>
      </c>
      <c r="C43" s="2">
        <f t="shared" ref="C43" si="33">AN42*(1+(C9/100))</f>
        <v>61095.19927661636</v>
      </c>
      <c r="D43" s="2"/>
      <c r="E43" s="2"/>
      <c r="F43" s="2">
        <f t="shared" si="14"/>
        <v>46423.599932470242</v>
      </c>
      <c r="G43" s="2"/>
      <c r="H43" s="2">
        <f t="shared" ref="H43" si="34">AS42*(1+(H9/100))</f>
        <v>58528.443153631604</v>
      </c>
      <c r="I43" s="2">
        <f t="shared" ref="I43" si="35">SUM(B43:H43)</f>
        <v>205140.91254356297</v>
      </c>
      <c r="J43" s="2">
        <f t="shared" si="16"/>
        <v>27264.535344342177</v>
      </c>
      <c r="K43" s="6">
        <f t="shared" si="17"/>
        <v>0.15327800000000008</v>
      </c>
      <c r="L43" s="7">
        <f t="shared" si="18"/>
        <v>1.153278</v>
      </c>
      <c r="O43">
        <f t="shared" si="19"/>
        <v>1993</v>
      </c>
      <c r="P43" s="6">
        <f t="shared" si="5"/>
        <v>0.19056983658753571</v>
      </c>
      <c r="Q43" s="6">
        <f t="shared" si="6"/>
        <v>0.29782064688652687</v>
      </c>
      <c r="R43" s="7"/>
      <c r="S43" s="7"/>
      <c r="T43" s="6">
        <f t="shared" si="7"/>
        <v>0.226301030627481</v>
      </c>
      <c r="U43" s="7"/>
      <c r="V43" s="6">
        <f t="shared" si="8"/>
        <v>0.28530848589845637</v>
      </c>
      <c r="W43" s="6">
        <f t="shared" si="20"/>
        <v>0.99999999999999989</v>
      </c>
      <c r="X43" s="7">
        <f t="shared" si="21"/>
        <v>0.71469151410154352</v>
      </c>
      <c r="Y43" s="7">
        <f t="shared" si="22"/>
        <v>0</v>
      </c>
      <c r="Z43" s="6"/>
      <c r="AB43">
        <f t="shared" si="23"/>
        <v>1993</v>
      </c>
      <c r="AC43" s="1" t="b">
        <f t="shared" si="24"/>
        <v>1</v>
      </c>
      <c r="AD43" s="1" t="b">
        <f t="shared" si="25"/>
        <v>1</v>
      </c>
      <c r="AG43" s="1" t="b">
        <f t="shared" si="9"/>
        <v>1</v>
      </c>
      <c r="AI43" s="1" t="b">
        <f t="shared" si="26"/>
        <v>1</v>
      </c>
      <c r="AJ43" s="1" t="b">
        <f t="shared" si="27"/>
        <v>1</v>
      </c>
      <c r="AL43">
        <f t="shared" si="28"/>
        <v>1993</v>
      </c>
      <c r="AM43" s="2">
        <f>B43</f>
        <v>39093.670180844747</v>
      </c>
      <c r="AN43" s="2">
        <f t="shared" si="10"/>
        <v>61095.19927661636</v>
      </c>
      <c r="AO43" s="2"/>
      <c r="AP43" s="2"/>
      <c r="AQ43" s="2">
        <f t="shared" si="11"/>
        <v>46423.599932470242</v>
      </c>
      <c r="AR43" s="2"/>
      <c r="AS43" s="2">
        <f t="shared" si="12"/>
        <v>58528.443153631604</v>
      </c>
      <c r="AT43" s="2">
        <f t="shared" si="29"/>
        <v>205140.91254356297</v>
      </c>
      <c r="AU43" s="2">
        <f t="shared" si="30"/>
        <v>0</v>
      </c>
    </row>
    <row r="44" spans="1:47" x14ac:dyDescent="0.3">
      <c r="A44">
        <f t="shared" si="4"/>
        <v>1994</v>
      </c>
      <c r="B44" s="2">
        <f t="shared" ref="B44:C48" si="36">AM43*(1+(B10/100))</f>
        <v>39554.975488978715</v>
      </c>
      <c r="C44" s="2">
        <f t="shared" si="36"/>
        <v>60017.479961376848</v>
      </c>
      <c r="D44" s="2"/>
      <c r="E44" s="2"/>
      <c r="F44" s="2">
        <f t="shared" si="14"/>
        <v>48863.160108921555</v>
      </c>
      <c r="G44" s="2"/>
      <c r="H44" s="2">
        <f t="shared" ref="H44:H62" si="37">AS43*(1+(H10/100))</f>
        <v>56971.586565745005</v>
      </c>
      <c r="I44" s="2">
        <f t="shared" si="31"/>
        <v>205407.20212502213</v>
      </c>
      <c r="J44" s="2">
        <f t="shared" si="16"/>
        <v>266.28958145916113</v>
      </c>
      <c r="K44" s="6">
        <f t="shared" si="17"/>
        <v>1.2980812952297501E-3</v>
      </c>
      <c r="L44" s="7">
        <f t="shared" si="18"/>
        <v>1.0012980812952297</v>
      </c>
      <c r="O44">
        <f t="shared" si="19"/>
        <v>1994</v>
      </c>
      <c r="P44" s="6">
        <f t="shared" si="5"/>
        <v>0.19256859097327747</v>
      </c>
      <c r="Q44" s="6">
        <f t="shared" si="6"/>
        <v>0.29218780714829518</v>
      </c>
      <c r="R44" s="7"/>
      <c r="S44" s="7"/>
      <c r="T44" s="6">
        <f t="shared" si="7"/>
        <v>0.23788435655328555</v>
      </c>
      <c r="U44" s="7"/>
      <c r="V44" s="6">
        <f t="shared" si="8"/>
        <v>0.27735924532514183</v>
      </c>
      <c r="W44" s="6">
        <f t="shared" si="20"/>
        <v>1</v>
      </c>
      <c r="X44" s="7">
        <f t="shared" si="21"/>
        <v>0.72264075467485822</v>
      </c>
      <c r="Y44" s="7">
        <f t="shared" si="22"/>
        <v>0</v>
      </c>
      <c r="Z44" s="6"/>
      <c r="AB44">
        <f t="shared" si="23"/>
        <v>1994</v>
      </c>
      <c r="AC44" s="1" t="b">
        <f t="shared" si="24"/>
        <v>1</v>
      </c>
      <c r="AD44" s="1" t="b">
        <f t="shared" si="25"/>
        <v>1</v>
      </c>
      <c r="AG44" s="1" t="b">
        <f t="shared" si="9"/>
        <v>1</v>
      </c>
      <c r="AI44" s="1" t="b">
        <f t="shared" si="26"/>
        <v>1</v>
      </c>
      <c r="AJ44" s="1" t="b">
        <f t="shared" si="27"/>
        <v>1</v>
      </c>
      <c r="AL44">
        <f t="shared" si="28"/>
        <v>1994</v>
      </c>
      <c r="AM44" s="2">
        <f>B44</f>
        <v>39554.975488978715</v>
      </c>
      <c r="AN44" s="2">
        <f t="shared" si="10"/>
        <v>60017.479961376848</v>
      </c>
      <c r="AO44" s="2"/>
      <c r="AP44" s="2"/>
      <c r="AQ44" s="2">
        <f t="shared" si="11"/>
        <v>48863.160108921555</v>
      </c>
      <c r="AR44" s="2"/>
      <c r="AS44" s="2">
        <f t="shared" si="12"/>
        <v>56971.586565745005</v>
      </c>
      <c r="AT44" s="2">
        <f t="shared" si="29"/>
        <v>205407.20212502213</v>
      </c>
      <c r="AU44" s="2">
        <f t="shared" si="30"/>
        <v>0</v>
      </c>
    </row>
    <row r="45" spans="1:47" x14ac:dyDescent="0.3">
      <c r="A45">
        <f t="shared" si="4"/>
        <v>1995</v>
      </c>
      <c r="B45" s="2">
        <f t="shared" si="36"/>
        <v>54368.313809601248</v>
      </c>
      <c r="C45" s="2">
        <f t="shared" si="36"/>
        <v>80301.587663923376</v>
      </c>
      <c r="D45" s="2"/>
      <c r="E45" s="2"/>
      <c r="F45" s="2">
        <f t="shared" si="14"/>
        <v>53576.500533028127</v>
      </c>
      <c r="G45" s="2"/>
      <c r="H45" s="2">
        <f t="shared" si="37"/>
        <v>67329.021003397444</v>
      </c>
      <c r="I45" s="2">
        <f t="shared" si="31"/>
        <v>255575.4230099502</v>
      </c>
      <c r="J45" s="2">
        <f t="shared" si="16"/>
        <v>50168.220884928072</v>
      </c>
      <c r="K45" s="6">
        <f t="shared" si="17"/>
        <v>0.24423788633464241</v>
      </c>
      <c r="L45" s="7">
        <f t="shared" si="18"/>
        <v>1.2442378863346424</v>
      </c>
      <c r="O45">
        <f t="shared" si="19"/>
        <v>1995</v>
      </c>
      <c r="P45" s="6">
        <f t="shared" si="5"/>
        <v>0.21272903775056864</v>
      </c>
      <c r="Q45" s="6">
        <f t="shared" si="6"/>
        <v>0.31419917736298547</v>
      </c>
      <c r="R45" s="7"/>
      <c r="S45" s="7"/>
      <c r="T45" s="6">
        <f t="shared" si="7"/>
        <v>0.20963087883040404</v>
      </c>
      <c r="U45" s="7"/>
      <c r="V45" s="6">
        <f t="shared" si="8"/>
        <v>0.26344090605604181</v>
      </c>
      <c r="W45" s="6">
        <f t="shared" si="20"/>
        <v>1</v>
      </c>
      <c r="X45" s="7">
        <f t="shared" si="21"/>
        <v>0.73655909394395813</v>
      </c>
      <c r="Y45" s="7">
        <f t="shared" si="22"/>
        <v>0</v>
      </c>
      <c r="Z45" s="6"/>
      <c r="AB45">
        <f t="shared" si="23"/>
        <v>1995</v>
      </c>
      <c r="AC45" s="1" t="b">
        <f t="shared" si="24"/>
        <v>1</v>
      </c>
      <c r="AD45" s="1" t="b">
        <f t="shared" si="25"/>
        <v>1</v>
      </c>
      <c r="AG45" s="1" t="b">
        <f t="shared" si="9"/>
        <v>1</v>
      </c>
      <c r="AI45" s="1" t="b">
        <f t="shared" si="26"/>
        <v>1</v>
      </c>
      <c r="AJ45" s="1" t="b">
        <f t="shared" si="27"/>
        <v>1</v>
      </c>
      <c r="AL45">
        <f t="shared" si="28"/>
        <v>1995</v>
      </c>
      <c r="AM45" s="2">
        <f>B45</f>
        <v>54368.313809601248</v>
      </c>
      <c r="AN45" s="2">
        <f t="shared" si="10"/>
        <v>80301.587663923376</v>
      </c>
      <c r="AO45" s="2"/>
      <c r="AP45" s="2"/>
      <c r="AQ45" s="2">
        <f t="shared" si="11"/>
        <v>53576.500533028127</v>
      </c>
      <c r="AR45" s="2"/>
      <c r="AS45" s="2">
        <f t="shared" si="12"/>
        <v>67329.021003397444</v>
      </c>
      <c r="AT45" s="2">
        <f t="shared" si="29"/>
        <v>255575.4230099502</v>
      </c>
      <c r="AU45" s="2">
        <f t="shared" si="30"/>
        <v>0</v>
      </c>
    </row>
    <row r="46" spans="1:47" x14ac:dyDescent="0.3">
      <c r="A46">
        <f t="shared" si="4"/>
        <v>1996</v>
      </c>
      <c r="B46" s="2">
        <f t="shared" si="36"/>
        <v>66807.784009238021</v>
      </c>
      <c r="C46" s="2">
        <f t="shared" si="36"/>
        <v>94472.408838975927</v>
      </c>
      <c r="D46" s="2"/>
      <c r="E46" s="2"/>
      <c r="F46" s="2">
        <f t="shared" si="14"/>
        <v>59051.48312249827</v>
      </c>
      <c r="G46" s="2"/>
      <c r="H46" s="2">
        <f t="shared" si="37"/>
        <v>69739.399955319081</v>
      </c>
      <c r="I46" s="2">
        <f t="shared" si="31"/>
        <v>290071.07592603128</v>
      </c>
      <c r="J46" s="2">
        <f t="shared" si="16"/>
        <v>34495.652916081075</v>
      </c>
      <c r="K46" s="6">
        <f t="shared" si="17"/>
        <v>0.13497249661106137</v>
      </c>
      <c r="L46" s="7">
        <f t="shared" si="18"/>
        <v>1.1349724966110615</v>
      </c>
      <c r="O46">
        <f t="shared" si="19"/>
        <v>1996</v>
      </c>
      <c r="P46" s="6">
        <f t="shared" si="5"/>
        <v>0.23031522117797826</v>
      </c>
      <c r="Q46" s="6">
        <f t="shared" si="6"/>
        <v>0.32568710457386862</v>
      </c>
      <c r="R46" s="7"/>
      <c r="S46" s="7"/>
      <c r="T46" s="6">
        <f t="shared" si="7"/>
        <v>0.20357590957312999</v>
      </c>
      <c r="U46" s="6"/>
      <c r="V46" s="38">
        <f t="shared" si="8"/>
        <v>0.24042176467502321</v>
      </c>
      <c r="W46" s="6">
        <f t="shared" si="20"/>
        <v>1.0000000000000002</v>
      </c>
      <c r="X46" s="7">
        <f t="shared" si="21"/>
        <v>0.75957823532497692</v>
      </c>
      <c r="Y46" s="7">
        <f t="shared" si="22"/>
        <v>0</v>
      </c>
      <c r="Z46" s="6"/>
      <c r="AB46">
        <f t="shared" si="23"/>
        <v>1996</v>
      </c>
      <c r="AC46" s="1" t="b">
        <f t="shared" si="24"/>
        <v>1</v>
      </c>
      <c r="AD46" s="1" t="b">
        <f t="shared" si="25"/>
        <v>1</v>
      </c>
      <c r="AG46" s="1" t="b">
        <f t="shared" si="9"/>
        <v>1</v>
      </c>
      <c r="AI46" s="39" t="b">
        <f t="shared" si="26"/>
        <v>0</v>
      </c>
      <c r="AJ46" s="1" t="b">
        <f t="shared" si="27"/>
        <v>1</v>
      </c>
      <c r="AL46">
        <f t="shared" si="28"/>
        <v>1996</v>
      </c>
      <c r="AM46" s="40">
        <f>AM$37*$AT46</f>
        <v>58014.21518520626</v>
      </c>
      <c r="AN46" s="40">
        <f>AN$37*$AT46</f>
        <v>87021.322777809386</v>
      </c>
      <c r="AO46" s="2"/>
      <c r="AP46" s="2"/>
      <c r="AQ46" s="40">
        <f>AQ$37*$AT46</f>
        <v>58014.21518520626</v>
      </c>
      <c r="AR46" s="2"/>
      <c r="AS46" s="40">
        <f>AS$37*$AT46</f>
        <v>87021.322777809386</v>
      </c>
      <c r="AT46" s="2">
        <f t="shared" si="29"/>
        <v>290071.07592603128</v>
      </c>
      <c r="AU46" s="2">
        <f t="shared" si="30"/>
        <v>0</v>
      </c>
    </row>
    <row r="47" spans="1:47" x14ac:dyDescent="0.3">
      <c r="A47">
        <f t="shared" si="4"/>
        <v>1997</v>
      </c>
      <c r="B47" s="2">
        <f t="shared" si="36"/>
        <v>77269.133205176229</v>
      </c>
      <c r="C47" s="2">
        <f t="shared" si="36"/>
        <v>110244.70318752337</v>
      </c>
      <c r="D47" s="2"/>
      <c r="E47" s="2"/>
      <c r="F47" s="2"/>
      <c r="G47" s="2">
        <f>AQ46*(1+(G13/100))</f>
        <v>57564.605017520909</v>
      </c>
      <c r="H47" s="2">
        <f t="shared" si="37"/>
        <v>95236.1356480346</v>
      </c>
      <c r="I47" s="2">
        <f t="shared" si="15"/>
        <v>340314.57705825509</v>
      </c>
      <c r="J47" s="2">
        <f t="shared" si="16"/>
        <v>50243.501132223813</v>
      </c>
      <c r="K47" s="6">
        <f t="shared" si="17"/>
        <v>0.17321100000000003</v>
      </c>
      <c r="L47" s="7">
        <f t="shared" si="18"/>
        <v>1.173211</v>
      </c>
      <c r="O47">
        <f t="shared" si="19"/>
        <v>1997</v>
      </c>
      <c r="P47" s="6">
        <f t="shared" si="5"/>
        <v>0.22705208185057935</v>
      </c>
      <c r="Q47" s="6">
        <f t="shared" si="6"/>
        <v>0.32394940040623549</v>
      </c>
      <c r="R47" s="7"/>
      <c r="S47" s="7"/>
      <c r="T47" s="6"/>
      <c r="U47" s="6">
        <f t="shared" si="5"/>
        <v>0.16915115865773506</v>
      </c>
      <c r="V47" s="6">
        <f t="shared" si="8"/>
        <v>0.27984735908545011</v>
      </c>
      <c r="W47" s="6">
        <f t="shared" si="20"/>
        <v>0.99999999999999989</v>
      </c>
      <c r="X47" s="7">
        <f t="shared" si="21"/>
        <v>0.72015264091454978</v>
      </c>
      <c r="Y47" s="7">
        <f t="shared" si="22"/>
        <v>0</v>
      </c>
      <c r="Z47" s="6"/>
      <c r="AB47">
        <f t="shared" si="23"/>
        <v>1997</v>
      </c>
      <c r="AC47" s="1" t="b">
        <f t="shared" si="24"/>
        <v>1</v>
      </c>
      <c r="AD47" s="1" t="b">
        <f t="shared" si="25"/>
        <v>1</v>
      </c>
      <c r="AG47" s="1"/>
      <c r="AH47" s="1" t="b">
        <f t="shared" ref="AH47:AH54" si="38">AND((G47/$I47)&gt;0.15,(G47/$I47)&lt;0.25)</f>
        <v>1</v>
      </c>
      <c r="AI47" s="1" t="b">
        <f t="shared" si="26"/>
        <v>1</v>
      </c>
      <c r="AJ47" s="1" t="b">
        <f t="shared" si="27"/>
        <v>1</v>
      </c>
      <c r="AL47">
        <f t="shared" si="28"/>
        <v>1997</v>
      </c>
      <c r="AM47" s="2">
        <f>B47</f>
        <v>77269.133205176229</v>
      </c>
      <c r="AN47" s="2">
        <f t="shared" si="10"/>
        <v>110244.70318752337</v>
      </c>
      <c r="AO47" s="2"/>
      <c r="AP47" s="2"/>
      <c r="AQ47" s="2"/>
      <c r="AR47" s="2">
        <f t="shared" ref="AR47:AR62" si="39">G47</f>
        <v>57564.605017520909</v>
      </c>
      <c r="AS47" s="2">
        <f t="shared" si="12"/>
        <v>95236.1356480346</v>
      </c>
      <c r="AT47" s="2">
        <f t="shared" si="29"/>
        <v>340314.57705825509</v>
      </c>
      <c r="AU47" s="2">
        <f t="shared" si="30"/>
        <v>0</v>
      </c>
    </row>
    <row r="48" spans="1:47" x14ac:dyDescent="0.3">
      <c r="A48">
        <f t="shared" si="4"/>
        <v>1998</v>
      </c>
      <c r="B48" s="2">
        <f t="shared" si="36"/>
        <v>99414.466781779731</v>
      </c>
      <c r="C48" s="2">
        <f t="shared" si="36"/>
        <v>119453.4432447772</v>
      </c>
      <c r="D48" s="2"/>
      <c r="E48" s="2"/>
      <c r="F48" s="2"/>
      <c r="G48" s="2">
        <f t="shared" ref="G48:G62" si="40">AR47*(1+(G14/100))</f>
        <v>66546.41033840469</v>
      </c>
      <c r="H48" s="2">
        <f t="shared" si="37"/>
        <v>103407.39608663598</v>
      </c>
      <c r="I48" s="2">
        <f t="shared" si="15"/>
        <v>388821.71645159763</v>
      </c>
      <c r="J48" s="2">
        <f t="shared" si="16"/>
        <v>48507.139393342542</v>
      </c>
      <c r="K48" s="6">
        <f t="shared" si="17"/>
        <v>0.14253617876920707</v>
      </c>
      <c r="L48" s="7">
        <f t="shared" si="18"/>
        <v>1.142536178769207</v>
      </c>
      <c r="O48">
        <f t="shared" si="19"/>
        <v>1998</v>
      </c>
      <c r="P48" s="38">
        <f t="shared" si="5"/>
        <v>0.25568136391413548</v>
      </c>
      <c r="Q48" s="6">
        <f t="shared" si="6"/>
        <v>0.30721906259484177</v>
      </c>
      <c r="R48" s="7"/>
      <c r="S48" s="7"/>
      <c r="T48" s="7"/>
      <c r="U48" s="6">
        <f t="shared" si="5"/>
        <v>0.17114890327039822</v>
      </c>
      <c r="V48" s="6">
        <f t="shared" si="8"/>
        <v>0.26595067022062446</v>
      </c>
      <c r="W48" s="6">
        <f t="shared" si="20"/>
        <v>0.99999999999999989</v>
      </c>
      <c r="X48" s="7">
        <f t="shared" si="21"/>
        <v>0.73404932977937543</v>
      </c>
      <c r="Y48" s="7">
        <f t="shared" si="22"/>
        <v>0</v>
      </c>
      <c r="Z48" s="6"/>
      <c r="AB48">
        <f t="shared" si="23"/>
        <v>1998</v>
      </c>
      <c r="AC48" s="39" t="b">
        <f t="shared" si="24"/>
        <v>0</v>
      </c>
      <c r="AD48" s="1" t="b">
        <f t="shared" si="25"/>
        <v>1</v>
      </c>
      <c r="AH48" s="1" t="b">
        <f t="shared" si="38"/>
        <v>1</v>
      </c>
      <c r="AI48" s="1" t="b">
        <f t="shared" si="26"/>
        <v>1</v>
      </c>
      <c r="AJ48" s="1" t="b">
        <f t="shared" si="27"/>
        <v>1</v>
      </c>
      <c r="AL48">
        <f t="shared" si="28"/>
        <v>1998</v>
      </c>
      <c r="AM48" s="40">
        <f>AM$37*$AT48</f>
        <v>77764.343290319535</v>
      </c>
      <c r="AN48" s="40">
        <f>AN$37*$AT48</f>
        <v>116646.51493547928</v>
      </c>
      <c r="AO48" s="2"/>
      <c r="AP48" s="2"/>
      <c r="AQ48" s="2"/>
      <c r="AR48" s="40">
        <f>AR$37*$AT48</f>
        <v>77764.343290319535</v>
      </c>
      <c r="AS48" s="40">
        <f>AS$37*$AT48</f>
        <v>116646.51493547928</v>
      </c>
      <c r="AT48" s="2">
        <f t="shared" si="29"/>
        <v>388821.71645159763</v>
      </c>
      <c r="AU48" s="2">
        <f t="shared" si="30"/>
        <v>0</v>
      </c>
    </row>
    <row r="49" spans="1:49" x14ac:dyDescent="0.3">
      <c r="A49">
        <f t="shared" si="4"/>
        <v>1999</v>
      </c>
      <c r="B49" s="2">
        <f t="shared" ref="B49:B65" si="41">AM48*(1+(B15/100))</f>
        <v>94149.290421589874</v>
      </c>
      <c r="C49" s="2"/>
      <c r="D49" s="2">
        <f>(AN48*0.67)*(1+(D15/100))</f>
        <v>90125.448354158376</v>
      </c>
      <c r="E49" s="2">
        <f>(AN48*0.33)*(1+(E15/100))</f>
        <v>47398.016567716229</v>
      </c>
      <c r="F49" s="2"/>
      <c r="G49" s="2">
        <f t="shared" si="40"/>
        <v>101030.65715935024</v>
      </c>
      <c r="H49" s="2">
        <f t="shared" si="37"/>
        <v>115760.00142196963</v>
      </c>
      <c r="I49" s="2">
        <f t="shared" si="15"/>
        <v>448463.41392478434</v>
      </c>
      <c r="J49" s="2">
        <f t="shared" si="16"/>
        <v>59641.697473186709</v>
      </c>
      <c r="K49" s="6">
        <f t="shared" si="17"/>
        <v>0.15339085999999999</v>
      </c>
      <c r="L49" s="7">
        <f t="shared" si="18"/>
        <v>1.15339086</v>
      </c>
      <c r="O49">
        <f t="shared" si="19"/>
        <v>1999</v>
      </c>
      <c r="P49" s="6">
        <f t="shared" si="5"/>
        <v>0.20993750548708184</v>
      </c>
      <c r="Q49" s="7"/>
      <c r="R49" s="6">
        <f t="shared" si="5"/>
        <v>0.20096499637598997</v>
      </c>
      <c r="S49" s="6">
        <f t="shared" si="5"/>
        <v>0.1056898179338789</v>
      </c>
      <c r="T49" s="7"/>
      <c r="U49" s="6">
        <f t="shared" si="5"/>
        <v>0.22528182683882206</v>
      </c>
      <c r="V49" s="6">
        <f t="shared" si="8"/>
        <v>0.25812585336422728</v>
      </c>
      <c r="W49" s="6">
        <f t="shared" si="20"/>
        <v>1</v>
      </c>
      <c r="X49" s="7">
        <f t="shared" si="21"/>
        <v>0.74187414663577278</v>
      </c>
      <c r="Y49" s="7">
        <f t="shared" si="22"/>
        <v>0</v>
      </c>
      <c r="Z49" s="6"/>
      <c r="AB49">
        <f t="shared" si="23"/>
        <v>1999</v>
      </c>
      <c r="AC49" s="1" t="b">
        <f t="shared" si="24"/>
        <v>1</v>
      </c>
      <c r="AE49" s="1" t="b">
        <f>AND((D49/$I49)&gt;0.15,(D49/$I49)&lt;0.25)</f>
        <v>1</v>
      </c>
      <c r="AF49" s="1" t="b">
        <f>AND((E49/$I49)&gt;0.05,(E49/$I49)&lt;0.15)</f>
        <v>1</v>
      </c>
      <c r="AH49" s="1" t="b">
        <f t="shared" si="38"/>
        <v>1</v>
      </c>
      <c r="AI49" s="1" t="b">
        <f t="shared" si="26"/>
        <v>1</v>
      </c>
      <c r="AJ49" s="1" t="b">
        <f t="shared" si="27"/>
        <v>1</v>
      </c>
      <c r="AL49">
        <f t="shared" si="28"/>
        <v>1999</v>
      </c>
      <c r="AM49" s="26">
        <f>B49</f>
        <v>94149.290421589874</v>
      </c>
      <c r="AN49" s="2"/>
      <c r="AO49" s="26">
        <f t="shared" ref="AO49:AP51" si="42">D49</f>
        <v>90125.448354158376</v>
      </c>
      <c r="AP49" s="26">
        <f t="shared" si="42"/>
        <v>47398.016567716229</v>
      </c>
      <c r="AQ49" s="2"/>
      <c r="AR49" s="2">
        <f t="shared" si="39"/>
        <v>101030.65715935024</v>
      </c>
      <c r="AS49" s="2">
        <f t="shared" si="12"/>
        <v>115760.00142196963</v>
      </c>
      <c r="AT49" s="2">
        <f t="shared" si="29"/>
        <v>448463.41392478434</v>
      </c>
      <c r="AU49" s="2">
        <f t="shared" si="30"/>
        <v>0</v>
      </c>
    </row>
    <row r="50" spans="1:49" x14ac:dyDescent="0.3">
      <c r="A50">
        <f t="shared" si="4"/>
        <v>2000</v>
      </c>
      <c r="B50" s="2">
        <f t="shared" si="41"/>
        <v>85619.364709393834</v>
      </c>
      <c r="C50" s="2"/>
      <c r="D50" s="2">
        <f t="shared" ref="D50:D62" si="43">AO49*(1+(D16/100))</f>
        <v>106436.35199729395</v>
      </c>
      <c r="E50" s="2">
        <f t="shared" ref="E50:E62" si="44">AP49*(1+(E16/100))</f>
        <v>46134.859426186595</v>
      </c>
      <c r="F50" s="2"/>
      <c r="G50" s="2">
        <f t="shared" si="40"/>
        <v>85255.730350489306</v>
      </c>
      <c r="H50" s="2">
        <f t="shared" si="37"/>
        <v>128945.06558393198</v>
      </c>
      <c r="I50" s="2">
        <f t="shared" si="15"/>
        <v>452391.37206729566</v>
      </c>
      <c r="J50" s="2">
        <f t="shared" si="16"/>
        <v>3927.9581425113138</v>
      </c>
      <c r="K50" s="6">
        <f t="shared" si="17"/>
        <v>8.7587036546310226E-3</v>
      </c>
      <c r="L50" s="7">
        <f t="shared" si="18"/>
        <v>1.0087587036546311</v>
      </c>
      <c r="O50">
        <f t="shared" si="19"/>
        <v>2000</v>
      </c>
      <c r="P50" s="6">
        <f t="shared" si="5"/>
        <v>0.18925949961896596</v>
      </c>
      <c r="Q50" s="7"/>
      <c r="R50" s="6">
        <f t="shared" ref="R50:R62" si="45">D50/$I50</f>
        <v>0.23527493796115317</v>
      </c>
      <c r="S50" s="6">
        <f t="shared" ref="S50:S62" si="46">E50/$I50</f>
        <v>0.10197997193307168</v>
      </c>
      <c r="T50" s="7"/>
      <c r="U50" s="6">
        <f t="shared" si="5"/>
        <v>0.18845569481331101</v>
      </c>
      <c r="V50" s="6">
        <f t="shared" si="8"/>
        <v>0.28502989567349818</v>
      </c>
      <c r="W50" s="6">
        <f t="shared" si="20"/>
        <v>1</v>
      </c>
      <c r="X50" s="7">
        <f t="shared" si="21"/>
        <v>0.71497010432650188</v>
      </c>
      <c r="Y50" s="7">
        <f t="shared" si="22"/>
        <v>0</v>
      </c>
      <c r="Z50" s="6"/>
      <c r="AB50">
        <f t="shared" si="23"/>
        <v>2000</v>
      </c>
      <c r="AC50" s="1" t="b">
        <f t="shared" si="24"/>
        <v>1</v>
      </c>
      <c r="AE50" s="1" t="b">
        <f t="shared" ref="AE50:AE62" si="47">AND((D50/$I50)&gt;0.15,(D50/$I50)&lt;0.25)</f>
        <v>1</v>
      </c>
      <c r="AF50" s="1" t="b">
        <f t="shared" ref="AF50:AF62" si="48">AND((E50/$I50)&gt;0.05,(E50/$I50)&lt;0.15)</f>
        <v>1</v>
      </c>
      <c r="AH50" s="1" t="b">
        <f t="shared" si="38"/>
        <v>1</v>
      </c>
      <c r="AI50" s="1" t="b">
        <f t="shared" si="26"/>
        <v>1</v>
      </c>
      <c r="AJ50" s="1" t="b">
        <f t="shared" si="27"/>
        <v>1</v>
      </c>
      <c r="AL50">
        <f t="shared" si="28"/>
        <v>2000</v>
      </c>
      <c r="AM50" s="2">
        <f>B50</f>
        <v>85619.364709393834</v>
      </c>
      <c r="AN50" s="2"/>
      <c r="AO50" s="26">
        <f t="shared" si="42"/>
        <v>106436.35199729395</v>
      </c>
      <c r="AP50" s="26">
        <f t="shared" si="42"/>
        <v>46134.859426186595</v>
      </c>
      <c r="AQ50" s="2"/>
      <c r="AR50" s="2">
        <f t="shared" si="39"/>
        <v>85255.730350489306</v>
      </c>
      <c r="AS50" s="2">
        <f t="shared" si="12"/>
        <v>128945.06558393198</v>
      </c>
      <c r="AT50" s="2">
        <f t="shared" si="29"/>
        <v>452391.37206729566</v>
      </c>
      <c r="AU50" s="2">
        <f t="shared" si="30"/>
        <v>0</v>
      </c>
    </row>
    <row r="51" spans="1:49" x14ac:dyDescent="0.3">
      <c r="A51">
        <f t="shared" si="4"/>
        <v>2001</v>
      </c>
      <c r="B51" s="2">
        <f t="shared" si="41"/>
        <v>75327.9170713247</v>
      </c>
      <c r="C51" s="2"/>
      <c r="D51" s="2">
        <f t="shared" si="43"/>
        <v>105905.23460082745</v>
      </c>
      <c r="E51" s="2">
        <f t="shared" si="44"/>
        <v>47565.040068398375</v>
      </c>
      <c r="F51" s="2"/>
      <c r="G51" s="2">
        <f t="shared" si="40"/>
        <v>68074.143012955203</v>
      </c>
      <c r="H51" s="2">
        <f t="shared" si="37"/>
        <v>139815.13461265745</v>
      </c>
      <c r="I51" s="2">
        <f t="shared" si="15"/>
        <v>436687.46936616325</v>
      </c>
      <c r="J51" s="2">
        <f t="shared" si="16"/>
        <v>-15703.902701132407</v>
      </c>
      <c r="K51" s="6">
        <f t="shared" si="17"/>
        <v>-3.4713090635151121E-2</v>
      </c>
      <c r="L51" s="7">
        <f t="shared" si="18"/>
        <v>0.96528690936484884</v>
      </c>
      <c r="O51">
        <f t="shared" si="19"/>
        <v>2001</v>
      </c>
      <c r="P51" s="6">
        <f t="shared" si="5"/>
        <v>0.17249846252895823</v>
      </c>
      <c r="Q51" s="7"/>
      <c r="R51" s="6">
        <f t="shared" si="45"/>
        <v>0.24251951803092778</v>
      </c>
      <c r="S51" s="6">
        <f t="shared" si="46"/>
        <v>0.10892238363843457</v>
      </c>
      <c r="T51" s="7"/>
      <c r="U51" s="6">
        <f t="shared" si="5"/>
        <v>0.15588755755177144</v>
      </c>
      <c r="V51" s="6">
        <f t="shared" si="8"/>
        <v>0.32017207824990784</v>
      </c>
      <c r="W51" s="6">
        <f t="shared" si="20"/>
        <v>0.99999999999999978</v>
      </c>
      <c r="X51" s="7">
        <f t="shared" si="21"/>
        <v>0.67982792175009199</v>
      </c>
      <c r="Y51" s="7">
        <f t="shared" si="22"/>
        <v>0</v>
      </c>
      <c r="Z51" s="6"/>
      <c r="AB51">
        <f t="shared" si="23"/>
        <v>2001</v>
      </c>
      <c r="AC51" s="1" t="b">
        <f t="shared" si="24"/>
        <v>1</v>
      </c>
      <c r="AE51" s="1" t="b">
        <f t="shared" si="47"/>
        <v>1</v>
      </c>
      <c r="AF51" s="1" t="b">
        <f t="shared" si="48"/>
        <v>1</v>
      </c>
      <c r="AH51" s="1" t="b">
        <f t="shared" si="38"/>
        <v>1</v>
      </c>
      <c r="AI51" s="1" t="b">
        <f t="shared" si="26"/>
        <v>1</v>
      </c>
      <c r="AJ51" s="1" t="b">
        <f t="shared" si="27"/>
        <v>1</v>
      </c>
      <c r="AL51">
        <f t="shared" si="28"/>
        <v>2001</v>
      </c>
      <c r="AM51" s="2">
        <f>B51</f>
        <v>75327.9170713247</v>
      </c>
      <c r="AN51" s="2"/>
      <c r="AO51" s="26">
        <f t="shared" si="42"/>
        <v>105905.23460082745</v>
      </c>
      <c r="AP51" s="26">
        <f t="shared" si="42"/>
        <v>47565.040068398375</v>
      </c>
      <c r="AQ51" s="2"/>
      <c r="AR51" s="2">
        <f t="shared" si="39"/>
        <v>68074.143012955203</v>
      </c>
      <c r="AS51" s="2">
        <f t="shared" si="12"/>
        <v>139815.13461265745</v>
      </c>
      <c r="AT51" s="2">
        <f t="shared" si="29"/>
        <v>436687.46936616325</v>
      </c>
      <c r="AU51" s="2">
        <f t="shared" si="30"/>
        <v>0</v>
      </c>
    </row>
    <row r="52" spans="1:49" x14ac:dyDescent="0.3">
      <c r="A52">
        <f t="shared" si="4"/>
        <v>2002</v>
      </c>
      <c r="B52" s="2">
        <f t="shared" si="41"/>
        <v>58642.78344002628</v>
      </c>
      <c r="C52" s="2"/>
      <c r="D52" s="2">
        <f t="shared" si="43"/>
        <v>90434.597930338568</v>
      </c>
      <c r="E52" s="2">
        <f t="shared" si="44"/>
        <v>38041.567745903652</v>
      </c>
      <c r="F52" s="2"/>
      <c r="G52" s="2">
        <f t="shared" si="40"/>
        <v>57806.520022311168</v>
      </c>
      <c r="H52" s="2">
        <f t="shared" si="37"/>
        <v>151363.86473166296</v>
      </c>
      <c r="I52" s="2">
        <f t="shared" si="15"/>
        <v>396289.33387024264</v>
      </c>
      <c r="J52" s="2">
        <f t="shared" si="16"/>
        <v>-40398.135495920607</v>
      </c>
      <c r="K52" s="6">
        <f t="shared" si="17"/>
        <v>-9.2510406938300982E-2</v>
      </c>
      <c r="L52" s="7">
        <f t="shared" si="18"/>
        <v>0.90748959306169907</v>
      </c>
      <c r="O52">
        <f t="shared" si="19"/>
        <v>2002</v>
      </c>
      <c r="P52" s="38">
        <f t="shared" si="5"/>
        <v>0.14797971690862549</v>
      </c>
      <c r="Q52" s="7"/>
      <c r="R52" s="6">
        <f t="shared" si="45"/>
        <v>0.22820346196839517</v>
      </c>
      <c r="S52" s="6">
        <f t="shared" si="46"/>
        <v>9.5994427542073685E-2</v>
      </c>
      <c r="T52" s="7"/>
      <c r="U52" s="38">
        <f t="shared" si="5"/>
        <v>0.14586948242527972</v>
      </c>
      <c r="V52" s="38">
        <f t="shared" si="8"/>
        <v>0.38195291115562591</v>
      </c>
      <c r="W52" s="6">
        <f t="shared" si="20"/>
        <v>1</v>
      </c>
      <c r="X52" s="7">
        <f t="shared" si="21"/>
        <v>0.61804708884437409</v>
      </c>
      <c r="Y52" s="7">
        <f t="shared" si="22"/>
        <v>0</v>
      </c>
      <c r="Z52" s="6"/>
      <c r="AB52">
        <f t="shared" si="23"/>
        <v>2002</v>
      </c>
      <c r="AC52" s="39" t="b">
        <f t="shared" si="24"/>
        <v>0</v>
      </c>
      <c r="AE52" s="1" t="b">
        <f t="shared" si="47"/>
        <v>1</v>
      </c>
      <c r="AF52" s="1" t="b">
        <f t="shared" si="48"/>
        <v>1</v>
      </c>
      <c r="AH52" s="39" t="b">
        <f t="shared" si="38"/>
        <v>0</v>
      </c>
      <c r="AI52" s="39" t="b">
        <f t="shared" si="26"/>
        <v>0</v>
      </c>
      <c r="AJ52" s="1" t="b">
        <f t="shared" si="27"/>
        <v>1</v>
      </c>
      <c r="AL52">
        <f t="shared" si="28"/>
        <v>2002</v>
      </c>
      <c r="AM52" s="40">
        <f>AM$37*$AT52</f>
        <v>79257.86677404854</v>
      </c>
      <c r="AN52" s="2"/>
      <c r="AO52" s="40">
        <f>AO$37*$AT52</f>
        <v>79257.86677404854</v>
      </c>
      <c r="AP52" s="40">
        <f>AP$37*$AT52</f>
        <v>39628.93338702427</v>
      </c>
      <c r="AQ52" s="2"/>
      <c r="AR52" s="40">
        <f>AR$37*$AT52</f>
        <v>79257.86677404854</v>
      </c>
      <c r="AS52" s="40">
        <f>AS$37*$AT52</f>
        <v>118886.80016107278</v>
      </c>
      <c r="AT52" s="2">
        <f t="shared" si="29"/>
        <v>396289.33387024264</v>
      </c>
      <c r="AU52" s="2">
        <f t="shared" si="30"/>
        <v>0</v>
      </c>
    </row>
    <row r="53" spans="1:49" x14ac:dyDescent="0.3">
      <c r="A53">
        <f t="shared" si="4"/>
        <v>2003</v>
      </c>
      <c r="B53" s="2">
        <f t="shared" si="41"/>
        <v>101846.35880465237</v>
      </c>
      <c r="C53" s="2"/>
      <c r="D53" s="2">
        <f t="shared" si="43"/>
        <v>106318.08764804419</v>
      </c>
      <c r="E53" s="2">
        <f t="shared" si="44"/>
        <v>57710.823112855702</v>
      </c>
      <c r="F53" s="2"/>
      <c r="G53" s="2">
        <f t="shared" si="40"/>
        <v>111230.49023069972</v>
      </c>
      <c r="H53" s="2">
        <f t="shared" si="37"/>
        <v>123606.60612746738</v>
      </c>
      <c r="I53" s="2">
        <f t="shared" si="15"/>
        <v>500712.36592371936</v>
      </c>
      <c r="J53" s="2">
        <f t="shared" si="16"/>
        <v>104423.03205347672</v>
      </c>
      <c r="K53" s="6">
        <f t="shared" si="17"/>
        <v>0.26350200000000013</v>
      </c>
      <c r="L53" s="7">
        <f t="shared" si="18"/>
        <v>1.2635020000000001</v>
      </c>
      <c r="O53">
        <f t="shared" si="19"/>
        <v>2003</v>
      </c>
      <c r="P53" s="6">
        <f t="shared" si="5"/>
        <v>0.20340292298706295</v>
      </c>
      <c r="Q53" s="7"/>
      <c r="R53" s="6">
        <f t="shared" si="45"/>
        <v>0.21233365677300078</v>
      </c>
      <c r="S53" s="6">
        <f t="shared" si="46"/>
        <v>0.1152574352870039</v>
      </c>
      <c r="T53" s="7"/>
      <c r="U53" s="6">
        <f t="shared" si="5"/>
        <v>0.22214448414011218</v>
      </c>
      <c r="V53" s="38">
        <f t="shared" si="8"/>
        <v>0.24686150081282021</v>
      </c>
      <c r="W53" s="6">
        <f t="shared" si="20"/>
        <v>1</v>
      </c>
      <c r="X53" s="7">
        <f t="shared" si="21"/>
        <v>0.7531384991871799</v>
      </c>
      <c r="Y53" s="7">
        <f t="shared" si="22"/>
        <v>0</v>
      </c>
      <c r="Z53" s="6"/>
      <c r="AB53">
        <f t="shared" si="23"/>
        <v>2003</v>
      </c>
      <c r="AC53" s="1" t="b">
        <f t="shared" si="24"/>
        <v>1</v>
      </c>
      <c r="AE53" s="1" t="b">
        <f t="shared" si="47"/>
        <v>1</v>
      </c>
      <c r="AF53" s="1" t="b">
        <f t="shared" si="48"/>
        <v>1</v>
      </c>
      <c r="AH53" s="1" t="b">
        <f t="shared" si="38"/>
        <v>1</v>
      </c>
      <c r="AI53" s="39" t="b">
        <f t="shared" si="26"/>
        <v>0</v>
      </c>
      <c r="AJ53" s="1" t="b">
        <f t="shared" si="27"/>
        <v>1</v>
      </c>
      <c r="AL53">
        <f t="shared" si="28"/>
        <v>2003</v>
      </c>
      <c r="AM53" s="40">
        <f>AM$37*$AT53</f>
        <v>100142.47318474388</v>
      </c>
      <c r="AN53" s="2"/>
      <c r="AO53" s="40">
        <f>AO$37*$AT53</f>
        <v>100142.47318474388</v>
      </c>
      <c r="AP53" s="40">
        <f>AP$37*$AT53</f>
        <v>50071.236592371941</v>
      </c>
      <c r="AQ53" s="2"/>
      <c r="AR53" s="40">
        <f>AR$37*$AT53</f>
        <v>100142.47318474388</v>
      </c>
      <c r="AS53" s="40">
        <f>AS$37*$AT53</f>
        <v>150213.70977711582</v>
      </c>
      <c r="AT53" s="2">
        <f t="shared" si="29"/>
        <v>500712.36592371936</v>
      </c>
      <c r="AU53" s="2">
        <f t="shared" si="30"/>
        <v>0</v>
      </c>
    </row>
    <row r="54" spans="1:49" x14ac:dyDescent="0.3">
      <c r="A54">
        <f t="shared" si="4"/>
        <v>2004</v>
      </c>
      <c r="B54" s="2">
        <f t="shared" si="41"/>
        <v>110897.77480478537</v>
      </c>
      <c r="C54" s="2"/>
      <c r="D54" s="2">
        <f t="shared" si="43"/>
        <v>120524.4707520348</v>
      </c>
      <c r="E54" s="2">
        <f t="shared" si="44"/>
        <v>60033.910537156189</v>
      </c>
      <c r="F54" s="2"/>
      <c r="G54" s="2">
        <f t="shared" si="40"/>
        <v>121009.16032224896</v>
      </c>
      <c r="H54" s="2">
        <f t="shared" si="37"/>
        <v>156582.77107166551</v>
      </c>
      <c r="I54" s="2">
        <f t="shared" si="15"/>
        <v>569048.08748789085</v>
      </c>
      <c r="J54" s="2">
        <f>I54-I53</f>
        <v>68335.721564171487</v>
      </c>
      <c r="K54" s="6">
        <f>(J54/I53)</f>
        <v>0.13647700000000007</v>
      </c>
      <c r="L54" s="7">
        <f t="shared" si="18"/>
        <v>1.1364770000000002</v>
      </c>
      <c r="O54">
        <f t="shared" si="19"/>
        <v>2004</v>
      </c>
      <c r="P54" s="6">
        <f t="shared" si="5"/>
        <v>0.19488295847606241</v>
      </c>
      <c r="Q54" s="7"/>
      <c r="R54" s="6">
        <f t="shared" si="45"/>
        <v>0.2118001508169545</v>
      </c>
      <c r="S54" s="6">
        <f t="shared" si="46"/>
        <v>0.1054988354361769</v>
      </c>
      <c r="T54" s="7"/>
      <c r="U54" s="6">
        <f t="shared" si="5"/>
        <v>0.21265190584587282</v>
      </c>
      <c r="V54" s="6">
        <f t="shared" si="8"/>
        <v>0.27516614942493334</v>
      </c>
      <c r="W54" s="6">
        <f t="shared" si="20"/>
        <v>0.99999999999999989</v>
      </c>
      <c r="X54" s="7">
        <f t="shared" si="21"/>
        <v>0.72483385057506655</v>
      </c>
      <c r="Y54" s="7">
        <f t="shared" si="22"/>
        <v>0</v>
      </c>
      <c r="Z54" s="6"/>
      <c r="AB54">
        <f t="shared" si="23"/>
        <v>2004</v>
      </c>
      <c r="AC54" s="1" t="b">
        <f t="shared" si="24"/>
        <v>1</v>
      </c>
      <c r="AE54" s="1" t="b">
        <f t="shared" si="47"/>
        <v>1</v>
      </c>
      <c r="AF54" s="1" t="b">
        <f t="shared" si="48"/>
        <v>1</v>
      </c>
      <c r="AH54" s="1" t="b">
        <f t="shared" si="38"/>
        <v>1</v>
      </c>
      <c r="AI54" s="1" t="b">
        <f t="shared" si="26"/>
        <v>1</v>
      </c>
      <c r="AJ54" s="1" t="b">
        <f t="shared" si="27"/>
        <v>1</v>
      </c>
      <c r="AL54">
        <f t="shared" si="28"/>
        <v>2004</v>
      </c>
      <c r="AM54" s="2">
        <f>B54</f>
        <v>110897.77480478537</v>
      </c>
      <c r="AN54" s="2"/>
      <c r="AO54" s="26">
        <f>D54</f>
        <v>120524.4707520348</v>
      </c>
      <c r="AP54" s="26">
        <f>E54</f>
        <v>60033.910537156189</v>
      </c>
      <c r="AQ54" s="2"/>
      <c r="AR54" s="2">
        <f t="shared" si="39"/>
        <v>121009.16032224896</v>
      </c>
      <c r="AS54" s="2">
        <f t="shared" si="12"/>
        <v>156582.77107166551</v>
      </c>
      <c r="AT54" s="2">
        <f t="shared" si="29"/>
        <v>569048.08748789085</v>
      </c>
      <c r="AU54" s="2">
        <f t="shared" si="30"/>
        <v>0</v>
      </c>
    </row>
    <row r="55" spans="1:49" x14ac:dyDescent="0.3">
      <c r="A55">
        <f t="shared" si="4"/>
        <v>2005</v>
      </c>
      <c r="B55" s="2">
        <f t="shared" si="41"/>
        <v>116187.59866297364</v>
      </c>
      <c r="C55" s="2"/>
      <c r="D55" s="2">
        <f t="shared" si="43"/>
        <v>137314.73477250079</v>
      </c>
      <c r="E55" s="2">
        <f t="shared" si="44"/>
        <v>64454.207370007003</v>
      </c>
      <c r="F55" s="2"/>
      <c r="G55" s="2">
        <f t="shared" si="40"/>
        <v>139851.49667602635</v>
      </c>
      <c r="H55" s="2">
        <f t="shared" si="37"/>
        <v>160340.75757738549</v>
      </c>
      <c r="I55" s="2">
        <f t="shared" si="15"/>
        <v>618148.79505889327</v>
      </c>
      <c r="J55" s="2">
        <f t="shared" si="16"/>
        <v>49100.707571002422</v>
      </c>
      <c r="K55" s="6">
        <f t="shared" si="17"/>
        <v>8.6285691228243117E-2</v>
      </c>
      <c r="L55" s="7">
        <f t="shared" si="18"/>
        <v>1.086285691228243</v>
      </c>
      <c r="O55">
        <f t="shared" si="19"/>
        <v>2005</v>
      </c>
      <c r="P55" s="6">
        <f t="shared" si="5"/>
        <v>0.18796056805692557</v>
      </c>
      <c r="Q55" s="7"/>
      <c r="R55" s="6">
        <f t="shared" si="45"/>
        <v>0.22213864343037071</v>
      </c>
      <c r="S55" s="6">
        <f t="shared" si="46"/>
        <v>0.10426972904455184</v>
      </c>
      <c r="T55" s="7"/>
      <c r="U55" s="6">
        <f t="shared" si="5"/>
        <v>0.2262424480867947</v>
      </c>
      <c r="V55" s="6">
        <f t="shared" si="8"/>
        <v>0.25938861138135721</v>
      </c>
      <c r="W55" s="6">
        <f t="shared" si="20"/>
        <v>1</v>
      </c>
      <c r="X55" s="7">
        <f t="shared" si="21"/>
        <v>0.74061138861864284</v>
      </c>
      <c r="Y55" s="7">
        <f t="shared" si="22"/>
        <v>0</v>
      </c>
      <c r="Z55" s="6"/>
      <c r="AB55">
        <f t="shared" si="23"/>
        <v>2005</v>
      </c>
      <c r="AC55" s="1" t="b">
        <f t="shared" si="24"/>
        <v>1</v>
      </c>
      <c r="AE55" s="1" t="b">
        <f t="shared" si="47"/>
        <v>1</v>
      </c>
      <c r="AF55" s="1" t="b">
        <f t="shared" si="48"/>
        <v>1</v>
      </c>
      <c r="AH55" s="1" t="b">
        <f t="shared" ref="AH55:AH62" si="49">AND((G55/$I55)&gt;0.15,(G55/$I55)&lt;0.25)</f>
        <v>1</v>
      </c>
      <c r="AI55" s="1" t="b">
        <f t="shared" si="26"/>
        <v>1</v>
      </c>
      <c r="AJ55" s="1" t="b">
        <f t="shared" si="27"/>
        <v>1</v>
      </c>
      <c r="AL55">
        <f t="shared" si="28"/>
        <v>2005</v>
      </c>
      <c r="AM55" s="2">
        <f>B55</f>
        <v>116187.59866297364</v>
      </c>
      <c r="AN55" s="2"/>
      <c r="AO55" s="26">
        <f>D55</f>
        <v>137314.73477250079</v>
      </c>
      <c r="AP55" s="26">
        <f>E55</f>
        <v>64454.207370007003</v>
      </c>
      <c r="AQ55" s="2"/>
      <c r="AR55" s="2">
        <f t="shared" si="39"/>
        <v>139851.49667602635</v>
      </c>
      <c r="AS55" s="2">
        <f t="shared" si="12"/>
        <v>160340.75757738549</v>
      </c>
      <c r="AT55" s="2">
        <f t="shared" si="29"/>
        <v>618148.79505889327</v>
      </c>
      <c r="AU55" s="2">
        <f t="shared" si="30"/>
        <v>0</v>
      </c>
    </row>
    <row r="56" spans="1:49" x14ac:dyDescent="0.3">
      <c r="A56">
        <f t="shared" si="4"/>
        <v>2006</v>
      </c>
      <c r="B56" s="2">
        <f t="shared" si="41"/>
        <v>134359.33909386274</v>
      </c>
      <c r="C56" s="2"/>
      <c r="D56" s="2">
        <f t="shared" si="43"/>
        <v>155985.41925951772</v>
      </c>
      <c r="E56" s="2">
        <f t="shared" si="44"/>
        <v>74545.158075855303</v>
      </c>
      <c r="F56" s="2"/>
      <c r="G56" s="2">
        <f t="shared" si="40"/>
        <v>177103.73984561948</v>
      </c>
      <c r="H56" s="2">
        <f t="shared" si="37"/>
        <v>167187.30792593985</v>
      </c>
      <c r="I56" s="2">
        <f t="shared" si="15"/>
        <v>709180.96420079516</v>
      </c>
      <c r="J56" s="2">
        <f t="shared" si="16"/>
        <v>91032.16914190189</v>
      </c>
      <c r="K56" s="6">
        <f t="shared" si="17"/>
        <v>0.1472657875734093</v>
      </c>
      <c r="L56" s="7">
        <f t="shared" si="18"/>
        <v>1.1472657875734094</v>
      </c>
      <c r="O56">
        <f t="shared" si="19"/>
        <v>2006</v>
      </c>
      <c r="P56" s="6">
        <f t="shared" si="5"/>
        <v>0.18945705803775731</v>
      </c>
      <c r="Q56" s="7"/>
      <c r="R56" s="6">
        <f t="shared" si="45"/>
        <v>0.21995150340125671</v>
      </c>
      <c r="S56" s="6">
        <f t="shared" si="46"/>
        <v>0.10511443741283054</v>
      </c>
      <c r="T56" s="7"/>
      <c r="U56" s="6">
        <f t="shared" si="5"/>
        <v>0.24972996849288656</v>
      </c>
      <c r="V56" s="38">
        <f t="shared" si="8"/>
        <v>0.23574703265526878</v>
      </c>
      <c r="W56" s="6">
        <f t="shared" si="20"/>
        <v>0.99999999999999989</v>
      </c>
      <c r="X56" s="7">
        <f t="shared" si="21"/>
        <v>0.76425296734473114</v>
      </c>
      <c r="Y56" s="7">
        <f t="shared" si="22"/>
        <v>0</v>
      </c>
      <c r="Z56" s="6"/>
      <c r="AB56">
        <f t="shared" si="23"/>
        <v>2006</v>
      </c>
      <c r="AC56" s="1" t="b">
        <f t="shared" si="24"/>
        <v>1</v>
      </c>
      <c r="AE56" s="1" t="b">
        <f t="shared" si="47"/>
        <v>1</v>
      </c>
      <c r="AF56" s="1" t="b">
        <f t="shared" si="48"/>
        <v>1</v>
      </c>
      <c r="AH56" s="1" t="b">
        <f t="shared" si="49"/>
        <v>1</v>
      </c>
      <c r="AI56" s="39" t="b">
        <f t="shared" si="26"/>
        <v>0</v>
      </c>
      <c r="AJ56" s="1" t="b">
        <f t="shared" si="27"/>
        <v>1</v>
      </c>
      <c r="AL56">
        <f t="shared" si="28"/>
        <v>2006</v>
      </c>
      <c r="AM56" s="40">
        <f>AM$37*$AT56</f>
        <v>141836.19284015903</v>
      </c>
      <c r="AN56" s="2"/>
      <c r="AO56" s="40">
        <f>AO$37*$AT56</f>
        <v>141836.19284015903</v>
      </c>
      <c r="AP56" s="40">
        <f>AP$37*$AT56</f>
        <v>70918.096420079513</v>
      </c>
      <c r="AQ56" s="2"/>
      <c r="AR56" s="40">
        <f>AR$37*$AT56</f>
        <v>141836.19284015903</v>
      </c>
      <c r="AS56" s="40">
        <f>AS$37*$AT56</f>
        <v>212754.28926023855</v>
      </c>
      <c r="AT56" s="2">
        <f t="shared" si="29"/>
        <v>709180.96420079516</v>
      </c>
      <c r="AU56" s="2">
        <f t="shared" si="30"/>
        <v>0</v>
      </c>
    </row>
    <row r="57" spans="1:49" x14ac:dyDescent="0.3">
      <c r="A57">
        <f t="shared" si="4"/>
        <v>2007</v>
      </c>
      <c r="B57" s="2">
        <f t="shared" si="41"/>
        <v>149481.1636342436</v>
      </c>
      <c r="C57" s="2"/>
      <c r="D57" s="2">
        <f t="shared" si="43"/>
        <v>150376.15001106501</v>
      </c>
      <c r="E57" s="2">
        <f t="shared" si="44"/>
        <v>71737.909614695629</v>
      </c>
      <c r="F57" s="2"/>
      <c r="G57" s="2">
        <f t="shared" si="40"/>
        <v>163852.0066928085</v>
      </c>
      <c r="H57" s="2">
        <f t="shared" si="37"/>
        <v>227476.88607704703</v>
      </c>
      <c r="I57" s="2">
        <f t="shared" si="15"/>
        <v>762924.11602985975</v>
      </c>
      <c r="J57" s="2">
        <f t="shared" si="16"/>
        <v>53743.151829064591</v>
      </c>
      <c r="K57" s="6">
        <f t="shared" si="17"/>
        <v>7.5781999999999905E-2</v>
      </c>
      <c r="L57" s="7">
        <f t="shared" si="18"/>
        <v>1.0757819999999998</v>
      </c>
      <c r="O57">
        <f t="shared" si="19"/>
        <v>2007</v>
      </c>
      <c r="P57" s="6">
        <f t="shared" si="5"/>
        <v>0.19593188954639509</v>
      </c>
      <c r="Q57" s="7"/>
      <c r="R57" s="6">
        <f t="shared" si="45"/>
        <v>0.19710498967262885</v>
      </c>
      <c r="S57" s="6">
        <f t="shared" si="46"/>
        <v>9.4030203145246904E-2</v>
      </c>
      <c r="T57" s="7"/>
      <c r="U57" s="6">
        <f t="shared" si="5"/>
        <v>0.21476841962405022</v>
      </c>
      <c r="V57" s="6">
        <f t="shared" si="8"/>
        <v>0.29816449801167894</v>
      </c>
      <c r="W57" s="6">
        <f t="shared" si="20"/>
        <v>1</v>
      </c>
      <c r="X57" s="7">
        <f t="shared" si="21"/>
        <v>0.70183550198832112</v>
      </c>
      <c r="Y57" s="7">
        <f t="shared" si="22"/>
        <v>0</v>
      </c>
      <c r="Z57" s="6"/>
      <c r="AA57" s="7">
        <f>SUM(P57:U57)</f>
        <v>0.70183550198832112</v>
      </c>
      <c r="AB57">
        <f t="shared" si="23"/>
        <v>2007</v>
      </c>
      <c r="AC57" s="1" t="b">
        <f t="shared" si="24"/>
        <v>1</v>
      </c>
      <c r="AE57" s="1" t="b">
        <f t="shared" si="47"/>
        <v>1</v>
      </c>
      <c r="AF57" s="1" t="b">
        <f t="shared" si="48"/>
        <v>1</v>
      </c>
      <c r="AH57" s="1" t="b">
        <f t="shared" si="49"/>
        <v>1</v>
      </c>
      <c r="AI57" s="1" t="b">
        <f t="shared" si="26"/>
        <v>1</v>
      </c>
      <c r="AJ57" s="1" t="b">
        <f t="shared" si="27"/>
        <v>1</v>
      </c>
      <c r="AL57">
        <f t="shared" si="28"/>
        <v>2007</v>
      </c>
      <c r="AM57" s="2">
        <f>B57</f>
        <v>149481.1636342436</v>
      </c>
      <c r="AN57" s="2"/>
      <c r="AO57" s="26">
        <f>D57</f>
        <v>150376.15001106501</v>
      </c>
      <c r="AP57" s="26">
        <f>E57</f>
        <v>71737.909614695629</v>
      </c>
      <c r="AQ57" s="2"/>
      <c r="AR57" s="2">
        <f t="shared" si="39"/>
        <v>163852.0066928085</v>
      </c>
      <c r="AS57" s="2">
        <f t="shared" si="12"/>
        <v>227476.88607704703</v>
      </c>
      <c r="AT57" s="2">
        <f t="shared" si="29"/>
        <v>762924.11602985975</v>
      </c>
      <c r="AU57" s="2">
        <f t="shared" si="30"/>
        <v>0</v>
      </c>
    </row>
    <row r="58" spans="1:49" x14ac:dyDescent="0.3">
      <c r="A58">
        <f t="shared" si="4"/>
        <v>2008</v>
      </c>
      <c r="B58" s="2">
        <f t="shared" si="41"/>
        <v>94143.236856846604</v>
      </c>
      <c r="C58" s="2"/>
      <c r="D58" s="2">
        <f t="shared" si="43"/>
        <v>87482.829030437191</v>
      </c>
      <c r="E58" s="2">
        <f t="shared" si="44"/>
        <v>45862.045616674914</v>
      </c>
      <c r="F58" s="2"/>
      <c r="G58" s="2">
        <f t="shared" si="40"/>
        <v>91591.633221213022</v>
      </c>
      <c r="H58" s="2">
        <f t="shared" si="37"/>
        <v>238964.4688239379</v>
      </c>
      <c r="I58" s="2">
        <f t="shared" si="15"/>
        <v>558044.21354910964</v>
      </c>
      <c r="J58" s="2">
        <f t="shared" si="16"/>
        <v>-204879.90248075011</v>
      </c>
      <c r="K58" s="6">
        <f t="shared" si="17"/>
        <v>-0.26854558425405889</v>
      </c>
      <c r="L58" s="7">
        <f t="shared" si="18"/>
        <v>0.73145441574594106</v>
      </c>
      <c r="O58">
        <f t="shared" si="19"/>
        <v>2008</v>
      </c>
      <c r="P58" s="6">
        <f t="shared" si="5"/>
        <v>0.16870211099960039</v>
      </c>
      <c r="Q58" s="7"/>
      <c r="R58" s="6">
        <f t="shared" si="45"/>
        <v>0.1567668419569383</v>
      </c>
      <c r="S58" s="6">
        <f t="shared" si="46"/>
        <v>8.2183534033972938E-2</v>
      </c>
      <c r="T58" s="7"/>
      <c r="U58" s="6">
        <f t="shared" si="5"/>
        <v>0.16412970692536832</v>
      </c>
      <c r="V58" s="38">
        <f t="shared" si="8"/>
        <v>0.42821780608412002</v>
      </c>
      <c r="W58" s="6">
        <f t="shared" si="20"/>
        <v>1</v>
      </c>
      <c r="X58" s="7">
        <f t="shared" si="21"/>
        <v>0.57178219391587992</v>
      </c>
      <c r="Y58" s="7">
        <f t="shared" si="22"/>
        <v>0</v>
      </c>
      <c r="Z58" s="6"/>
      <c r="AB58">
        <f t="shared" si="23"/>
        <v>2008</v>
      </c>
      <c r="AC58" s="1" t="b">
        <f t="shared" si="24"/>
        <v>1</v>
      </c>
      <c r="AE58" s="1" t="b">
        <f t="shared" si="47"/>
        <v>1</v>
      </c>
      <c r="AF58" s="1" t="b">
        <f t="shared" si="48"/>
        <v>1</v>
      </c>
      <c r="AH58" s="1" t="b">
        <f t="shared" si="49"/>
        <v>1</v>
      </c>
      <c r="AI58" s="39" t="b">
        <f t="shared" si="26"/>
        <v>0</v>
      </c>
      <c r="AJ58" s="1" t="b">
        <f t="shared" si="27"/>
        <v>1</v>
      </c>
      <c r="AL58">
        <f t="shared" si="28"/>
        <v>2008</v>
      </c>
      <c r="AM58" s="40">
        <f>AM$37*$AT58</f>
        <v>111608.84270982194</v>
      </c>
      <c r="AN58" s="2"/>
      <c r="AO58" s="40">
        <f>AO$37*$AT58</f>
        <v>111608.84270982194</v>
      </c>
      <c r="AP58" s="40">
        <f>AP$37*$AT58</f>
        <v>55804.42135491097</v>
      </c>
      <c r="AQ58" s="2"/>
      <c r="AR58" s="40">
        <f>AR$37*$AT58</f>
        <v>111608.84270982194</v>
      </c>
      <c r="AS58" s="40">
        <f>AS$37*$AT58</f>
        <v>167413.26406473288</v>
      </c>
      <c r="AT58" s="2">
        <f t="shared" si="29"/>
        <v>558044.21354910964</v>
      </c>
      <c r="AU58" s="2">
        <f t="shared" si="30"/>
        <v>0</v>
      </c>
    </row>
    <row r="59" spans="1:49" x14ac:dyDescent="0.3">
      <c r="A59">
        <f t="shared" si="4"/>
        <v>2009</v>
      </c>
      <c r="B59" s="2">
        <f t="shared" si="41"/>
        <v>141174.02514365377</v>
      </c>
      <c r="C59" s="2"/>
      <c r="D59" s="2">
        <f t="shared" si="43"/>
        <v>156495.68707085811</v>
      </c>
      <c r="E59" s="2">
        <f t="shared" si="44"/>
        <v>75959.862259877715</v>
      </c>
      <c r="F59" s="2"/>
      <c r="G59" s="2">
        <f t="shared" si="40"/>
        <v>152599.42237185824</v>
      </c>
      <c r="H59" s="2">
        <f t="shared" si="37"/>
        <v>177340.87062377154</v>
      </c>
      <c r="I59" s="2">
        <f t="shared" si="15"/>
        <v>703569.86747001938</v>
      </c>
      <c r="J59" s="2">
        <f t="shared" si="16"/>
        <v>145525.65392090974</v>
      </c>
      <c r="K59" s="6">
        <f t="shared" si="17"/>
        <v>0.26077800000000007</v>
      </c>
      <c r="L59" s="7">
        <f t="shared" si="18"/>
        <v>1.2607780000000002</v>
      </c>
      <c r="O59">
        <f t="shared" si="19"/>
        <v>2009</v>
      </c>
      <c r="P59" s="6">
        <f t="shared" si="5"/>
        <v>0.20065388196811809</v>
      </c>
      <c r="Q59" s="7"/>
      <c r="R59" s="6">
        <f t="shared" si="45"/>
        <v>0.22243091170689844</v>
      </c>
      <c r="S59" s="6">
        <f t="shared" si="46"/>
        <v>0.10796349555591865</v>
      </c>
      <c r="T59" s="7"/>
      <c r="U59" s="6">
        <f t="shared" si="5"/>
        <v>0.21689306126851834</v>
      </c>
      <c r="V59" s="6">
        <f t="shared" si="8"/>
        <v>0.25205864950054646</v>
      </c>
      <c r="W59" s="6">
        <f t="shared" si="20"/>
        <v>1</v>
      </c>
      <c r="X59" s="7">
        <f t="shared" si="21"/>
        <v>0.74794135049945354</v>
      </c>
      <c r="Y59" s="7">
        <f t="shared" si="22"/>
        <v>0</v>
      </c>
      <c r="Z59" s="6"/>
      <c r="AB59">
        <f t="shared" si="23"/>
        <v>2009</v>
      </c>
      <c r="AC59" s="1" t="b">
        <f t="shared" si="24"/>
        <v>1</v>
      </c>
      <c r="AE59" s="1" t="b">
        <f t="shared" si="47"/>
        <v>1</v>
      </c>
      <c r="AF59" s="1" t="b">
        <f t="shared" si="48"/>
        <v>1</v>
      </c>
      <c r="AH59" s="1" t="b">
        <f t="shared" si="49"/>
        <v>1</v>
      </c>
      <c r="AI59" s="1" t="b">
        <f t="shared" si="26"/>
        <v>1</v>
      </c>
      <c r="AJ59" s="1" t="b">
        <f t="shared" si="27"/>
        <v>1</v>
      </c>
      <c r="AL59">
        <f t="shared" si="28"/>
        <v>2009</v>
      </c>
      <c r="AM59" s="2">
        <f>B59</f>
        <v>141174.02514365377</v>
      </c>
      <c r="AN59" s="2"/>
      <c r="AO59" s="26">
        <f>D59</f>
        <v>156495.68707085811</v>
      </c>
      <c r="AP59" s="26">
        <f>E59</f>
        <v>75959.862259877715</v>
      </c>
      <c r="AQ59" s="2"/>
      <c r="AR59" s="2">
        <f t="shared" si="39"/>
        <v>152599.42237185824</v>
      </c>
      <c r="AS59" s="2">
        <f t="shared" si="12"/>
        <v>177340.87062377154</v>
      </c>
      <c r="AT59" s="2">
        <f t="shared" si="29"/>
        <v>703569.86747001938</v>
      </c>
      <c r="AU59" s="2">
        <f t="shared" si="30"/>
        <v>0</v>
      </c>
    </row>
    <row r="60" spans="1:49" x14ac:dyDescent="0.3">
      <c r="A60">
        <f t="shared" si="4"/>
        <v>2010</v>
      </c>
      <c r="B60" s="2">
        <f t="shared" si="41"/>
        <v>162223.07229257256</v>
      </c>
      <c r="C60" s="2"/>
      <c r="D60" s="2">
        <f t="shared" si="43"/>
        <v>196339.48899909857</v>
      </c>
      <c r="E60" s="2">
        <f t="shared" si="44"/>
        <v>97015.936078315819</v>
      </c>
      <c r="F60" s="2"/>
      <c r="G60" s="2">
        <f t="shared" si="40"/>
        <v>169568.47813960887</v>
      </c>
      <c r="H60" s="2">
        <f t="shared" si="37"/>
        <v>188726.15451781769</v>
      </c>
      <c r="I60" s="2">
        <f t="shared" si="15"/>
        <v>813873.13002741348</v>
      </c>
      <c r="J60" s="2">
        <f t="shared" si="16"/>
        <v>110303.2625573941</v>
      </c>
      <c r="K60" s="6">
        <f t="shared" si="17"/>
        <v>0.15677655860111769</v>
      </c>
      <c r="L60" s="7">
        <f t="shared" si="18"/>
        <v>1.1567765586011176</v>
      </c>
      <c r="O60">
        <f t="shared" si="19"/>
        <v>2010</v>
      </c>
      <c r="P60" s="6">
        <f t="shared" si="5"/>
        <v>0.19932230996139219</v>
      </c>
      <c r="Q60" s="7"/>
      <c r="R60" s="6">
        <f t="shared" si="45"/>
        <v>0.24124090322589384</v>
      </c>
      <c r="S60" s="6">
        <f t="shared" si="46"/>
        <v>0.11920277559113919</v>
      </c>
      <c r="T60" s="7"/>
      <c r="U60" s="6">
        <f t="shared" si="5"/>
        <v>0.20834755674253225</v>
      </c>
      <c r="V60" s="38">
        <f t="shared" si="8"/>
        <v>0.23188645447904255</v>
      </c>
      <c r="W60" s="6">
        <f t="shared" si="20"/>
        <v>1</v>
      </c>
      <c r="X60" s="7">
        <f t="shared" si="21"/>
        <v>0.76811354552095745</v>
      </c>
      <c r="Y60" s="7">
        <f t="shared" si="22"/>
        <v>0</v>
      </c>
      <c r="Z60" s="6"/>
      <c r="AB60">
        <f t="shared" si="23"/>
        <v>2010</v>
      </c>
      <c r="AC60" s="1" t="b">
        <f t="shared" si="24"/>
        <v>1</v>
      </c>
      <c r="AE60" s="1" t="b">
        <f t="shared" si="47"/>
        <v>1</v>
      </c>
      <c r="AF60" s="1" t="b">
        <f t="shared" si="48"/>
        <v>1</v>
      </c>
      <c r="AH60" s="1" t="b">
        <f t="shared" si="49"/>
        <v>1</v>
      </c>
      <c r="AI60" s="39" t="b">
        <f t="shared" si="26"/>
        <v>0</v>
      </c>
      <c r="AJ60" s="1" t="b">
        <f t="shared" si="27"/>
        <v>1</v>
      </c>
      <c r="AL60">
        <f t="shared" si="28"/>
        <v>2010</v>
      </c>
      <c r="AM60" s="40">
        <f>AM$37*$AT60</f>
        <v>162774.62600548271</v>
      </c>
      <c r="AN60" s="2"/>
      <c r="AO60" s="40">
        <f>AO$37*$AT60</f>
        <v>162774.62600548271</v>
      </c>
      <c r="AP60" s="40">
        <f>AP$37*$AT60</f>
        <v>81387.313002741357</v>
      </c>
      <c r="AQ60" s="2"/>
      <c r="AR60" s="40">
        <f>AR$37*$AT60</f>
        <v>162774.62600548271</v>
      </c>
      <c r="AS60" s="40">
        <f>AS$37*$AT60</f>
        <v>244161.93900822403</v>
      </c>
      <c r="AT60" s="2">
        <f t="shared" si="29"/>
        <v>813873.13002741348</v>
      </c>
      <c r="AU60" s="2">
        <f t="shared" si="30"/>
        <v>0</v>
      </c>
    </row>
    <row r="61" spans="1:49" x14ac:dyDescent="0.3">
      <c r="A61">
        <f t="shared" si="4"/>
        <v>2011</v>
      </c>
      <c r="B61" s="2">
        <f t="shared" si="41"/>
        <v>165981.28613779074</v>
      </c>
      <c r="C61" s="2"/>
      <c r="D61" s="2">
        <f t="shared" si="43"/>
        <v>159340.08139676703</v>
      </c>
      <c r="E61" s="2">
        <f t="shared" si="44"/>
        <v>79108.468238664602</v>
      </c>
      <c r="F61" s="2"/>
      <c r="G61" s="2">
        <f t="shared" si="40"/>
        <v>139074.64045908445</v>
      </c>
      <c r="H61" s="2">
        <f t="shared" si="37"/>
        <v>262620.58159724576</v>
      </c>
      <c r="I61" s="2">
        <f t="shared" si="15"/>
        <v>806125.05782955256</v>
      </c>
      <c r="J61" s="2">
        <f t="shared" si="16"/>
        <v>-7748.0721978609217</v>
      </c>
      <c r="K61" s="6">
        <f t="shared" si="17"/>
        <v>-9.519999999999933E-3</v>
      </c>
      <c r="L61" s="7">
        <f t="shared" si="18"/>
        <v>0.99048000000000003</v>
      </c>
      <c r="O61">
        <f t="shared" si="19"/>
        <v>2011</v>
      </c>
      <c r="P61" s="6">
        <f t="shared" si="5"/>
        <v>0.20590016961473229</v>
      </c>
      <c r="Q61" s="7"/>
      <c r="R61" s="6">
        <f t="shared" si="45"/>
        <v>0.19766173976253937</v>
      </c>
      <c r="S61" s="6">
        <f t="shared" si="46"/>
        <v>9.8134237945238678E-2</v>
      </c>
      <c r="T61" s="7"/>
      <c r="U61" s="6">
        <f t="shared" si="5"/>
        <v>0.17252241337533319</v>
      </c>
      <c r="V61" s="6">
        <f t="shared" si="8"/>
        <v>0.32578143930215647</v>
      </c>
      <c r="W61" s="6">
        <f t="shared" si="20"/>
        <v>1</v>
      </c>
      <c r="X61" s="7">
        <f t="shared" si="21"/>
        <v>0.67421856069784347</v>
      </c>
      <c r="Y61" s="7">
        <f t="shared" si="22"/>
        <v>0</v>
      </c>
      <c r="Z61" s="6"/>
      <c r="AB61">
        <f t="shared" si="23"/>
        <v>2011</v>
      </c>
      <c r="AC61" s="1" t="b">
        <f t="shared" si="24"/>
        <v>1</v>
      </c>
      <c r="AE61" s="1" t="b">
        <f t="shared" si="47"/>
        <v>1</v>
      </c>
      <c r="AF61" s="1" t="b">
        <f t="shared" si="48"/>
        <v>1</v>
      </c>
      <c r="AH61" s="1" t="b">
        <f t="shared" si="49"/>
        <v>1</v>
      </c>
      <c r="AI61" s="1" t="b">
        <f t="shared" si="26"/>
        <v>1</v>
      </c>
      <c r="AJ61" s="1" t="b">
        <f t="shared" si="27"/>
        <v>1</v>
      </c>
      <c r="AL61">
        <f t="shared" si="28"/>
        <v>2011</v>
      </c>
      <c r="AM61" s="2">
        <f>B61</f>
        <v>165981.28613779074</v>
      </c>
      <c r="AN61" s="2"/>
      <c r="AO61" s="26">
        <f>D61</f>
        <v>159340.08139676703</v>
      </c>
      <c r="AP61" s="26">
        <f>E61</f>
        <v>79108.468238664602</v>
      </c>
      <c r="AQ61" s="2"/>
      <c r="AR61" s="2">
        <f t="shared" si="39"/>
        <v>139074.64045908445</v>
      </c>
      <c r="AS61" s="2">
        <f t="shared" si="12"/>
        <v>262620.58159724576</v>
      </c>
      <c r="AT61" s="2">
        <f t="shared" si="29"/>
        <v>806125.05782955256</v>
      </c>
      <c r="AU61" s="2">
        <f t="shared" si="30"/>
        <v>0</v>
      </c>
    </row>
    <row r="62" spans="1:49" x14ac:dyDescent="0.3">
      <c r="A62">
        <f t="shared" si="4"/>
        <v>2012</v>
      </c>
      <c r="B62" s="2">
        <f t="shared" si="41"/>
        <v>192239.5256047892</v>
      </c>
      <c r="C62" s="2"/>
      <c r="D62" s="2">
        <f t="shared" si="43"/>
        <v>184515.81425745619</v>
      </c>
      <c r="E62" s="2">
        <f t="shared" si="44"/>
        <v>93379.635908919707</v>
      </c>
      <c r="F62" s="2"/>
      <c r="G62" s="2">
        <f t="shared" si="40"/>
        <v>164302.78023836238</v>
      </c>
      <c r="H62" s="2">
        <f t="shared" si="37"/>
        <v>273256.71515193419</v>
      </c>
      <c r="I62" s="2">
        <f t="shared" si="15"/>
        <v>907694.47116146167</v>
      </c>
      <c r="J62" s="2">
        <f t="shared" si="16"/>
        <v>101569.41333190911</v>
      </c>
      <c r="K62" s="6">
        <f t="shared" si="17"/>
        <v>0.12599709231887565</v>
      </c>
      <c r="L62" s="7">
        <f t="shared" si="18"/>
        <v>1.1259970923188756</v>
      </c>
      <c r="O62">
        <f t="shared" si="19"/>
        <v>2012</v>
      </c>
      <c r="P62" s="6">
        <f t="shared" si="5"/>
        <v>0.21178880307467846</v>
      </c>
      <c r="Q62" s="7"/>
      <c r="R62" s="6">
        <f t="shared" si="45"/>
        <v>0.20327964983785202</v>
      </c>
      <c r="S62" s="6">
        <f t="shared" si="46"/>
        <v>0.10287562486684931</v>
      </c>
      <c r="T62" s="7"/>
      <c r="U62" s="6">
        <f t="shared" si="5"/>
        <v>0.1810111061138501</v>
      </c>
      <c r="V62" s="6">
        <f t="shared" si="8"/>
        <v>0.30104481610677014</v>
      </c>
      <c r="W62" s="6">
        <f t="shared" si="20"/>
        <v>1</v>
      </c>
      <c r="X62" s="7">
        <f t="shared" si="21"/>
        <v>0.69895518389322986</v>
      </c>
      <c r="Y62" s="7">
        <f t="shared" si="22"/>
        <v>0</v>
      </c>
      <c r="Z62" s="6"/>
      <c r="AB62">
        <f t="shared" si="23"/>
        <v>2012</v>
      </c>
      <c r="AC62" s="1" t="b">
        <f t="shared" si="24"/>
        <v>1</v>
      </c>
      <c r="AE62" s="1" t="b">
        <f t="shared" si="47"/>
        <v>1</v>
      </c>
      <c r="AF62" s="1" t="b">
        <f t="shared" si="48"/>
        <v>1</v>
      </c>
      <c r="AH62" s="1" t="b">
        <f t="shared" si="49"/>
        <v>1</v>
      </c>
      <c r="AI62" s="1" t="b">
        <f t="shared" si="26"/>
        <v>1</v>
      </c>
      <c r="AJ62" s="1" t="b">
        <f t="shared" si="27"/>
        <v>1</v>
      </c>
      <c r="AL62">
        <f t="shared" si="28"/>
        <v>2012</v>
      </c>
      <c r="AM62" s="2">
        <f>B62</f>
        <v>192239.5256047892</v>
      </c>
      <c r="AN62" s="2"/>
      <c r="AO62" s="26">
        <f>D62</f>
        <v>184515.81425745619</v>
      </c>
      <c r="AP62" s="26">
        <f>E62</f>
        <v>93379.635908919707</v>
      </c>
      <c r="AQ62" s="2"/>
      <c r="AR62" s="2">
        <f t="shared" si="39"/>
        <v>164302.78023836238</v>
      </c>
      <c r="AS62" s="2">
        <f t="shared" si="12"/>
        <v>273256.71515193419</v>
      </c>
      <c r="AT62" s="2">
        <f t="shared" si="29"/>
        <v>907694.47116146167</v>
      </c>
      <c r="AU62" s="2">
        <f t="shared" si="30"/>
        <v>0</v>
      </c>
    </row>
    <row r="63" spans="1:49" x14ac:dyDescent="0.3">
      <c r="A63">
        <f t="shared" si="4"/>
        <v>2013</v>
      </c>
      <c r="B63" s="2">
        <f t="shared" si="41"/>
        <v>254102.20494441039</v>
      </c>
      <c r="C63" s="2"/>
      <c r="D63" s="2">
        <f t="shared" ref="D63:E63" si="50">AO62*(1+(D29/100))</f>
        <v>249096.34924756587</v>
      </c>
      <c r="E63" s="2">
        <f t="shared" si="50"/>
        <v>128509.05493785528</v>
      </c>
      <c r="F63" s="2"/>
      <c r="G63" s="2">
        <f t="shared" ref="G63:H63" si="51">AR62*(1+(G29/100))</f>
        <v>189013.91838621206</v>
      </c>
      <c r="H63" s="2">
        <f t="shared" si="51"/>
        <v>267081.11338950048</v>
      </c>
      <c r="I63" s="2">
        <f t="shared" ref="I63:I64" si="52">SUM(B63:H63)</f>
        <v>1087802.6409055442</v>
      </c>
      <c r="J63" s="2">
        <f t="shared" si="16"/>
        <v>180108.16974408249</v>
      </c>
      <c r="K63" s="6">
        <f t="shared" ref="K63:K64" si="53">(J63/I62)</f>
        <v>0.19842378186309859</v>
      </c>
      <c r="L63" s="7">
        <f t="shared" ref="L63:L64" si="54">K63+1</f>
        <v>1.1984237818630985</v>
      </c>
      <c r="O63">
        <f t="shared" ref="O63:O64" si="55">A63</f>
        <v>2013</v>
      </c>
      <c r="P63" s="6">
        <f t="shared" ref="P63:P64" si="56">B63/$I63</f>
        <v>0.23359219346340468</v>
      </c>
      <c r="Q63" s="7"/>
      <c r="R63" s="6">
        <f t="shared" ref="R63:R64" si="57">D63/$I63</f>
        <v>0.22899038840373193</v>
      </c>
      <c r="S63" s="6">
        <f t="shared" ref="S63:S64" si="58">E63/$I63</f>
        <v>0.11813636969191174</v>
      </c>
      <c r="T63" s="7"/>
      <c r="U63" s="6">
        <f t="shared" ref="U63:U64" si="59">G63/$I63</f>
        <v>0.17375754689183961</v>
      </c>
      <c r="V63" s="6">
        <f t="shared" ref="V63:V64" si="60">H63/$I63</f>
        <v>0.24552350154911198</v>
      </c>
      <c r="W63" s="6">
        <f t="shared" ref="W63:W64" si="61">SUM(P63:V63)</f>
        <v>1</v>
      </c>
      <c r="X63" s="7">
        <f t="shared" ref="X63:X64" si="62">SUM(P63:U63)</f>
        <v>0.75447649845088804</v>
      </c>
      <c r="Y63" s="7">
        <f t="shared" ref="Y63:Y64" si="63">W63-(X63+V63)</f>
        <v>0</v>
      </c>
      <c r="Z63" s="6"/>
      <c r="AB63">
        <f t="shared" ref="AB63:AB64" si="64">O63</f>
        <v>2013</v>
      </c>
      <c r="AC63" s="1" t="b">
        <f t="shared" ref="AC63:AC64" si="65">AND((B63/$I63)&gt;0.15,(B63/$I63)&lt;0.25)</f>
        <v>1</v>
      </c>
      <c r="AE63" s="1" t="b">
        <f t="shared" ref="AE63:AE64" si="66">AND((D63/$I63)&gt;0.15,(D63/$I63)&lt;0.25)</f>
        <v>1</v>
      </c>
      <c r="AF63" s="1" t="b">
        <f t="shared" ref="AF63:AF64" si="67">AND((E63/$I63)&gt;0.05,(E63/$I63)&lt;0.15)</f>
        <v>1</v>
      </c>
      <c r="AH63" s="1" t="b">
        <f t="shared" ref="AH63:AH64" si="68">AND((G63/$I63)&gt;0.15,(G63/$I63)&lt;0.25)</f>
        <v>1</v>
      </c>
      <c r="AI63" s="39" t="b">
        <f t="shared" ref="AI63:AI64" si="69">AND((H63/$I63)&gt;0.25,(H63/$I63)&lt;0.35)</f>
        <v>0</v>
      </c>
      <c r="AJ63" s="1" t="b">
        <f t="shared" ref="AJ63:AJ64" si="70">AND((I63/$I63)&gt;0.999,(I63/$I63)&lt;1.01)</f>
        <v>1</v>
      </c>
      <c r="AL63">
        <f t="shared" ref="AL63:AL64" si="71">A63</f>
        <v>2013</v>
      </c>
      <c r="AM63" s="40">
        <f>AM$37*$AT63</f>
        <v>217560.52818110885</v>
      </c>
      <c r="AN63" s="2"/>
      <c r="AO63" s="40">
        <f>AO$37*$AT63</f>
        <v>217560.52818110885</v>
      </c>
      <c r="AP63" s="40">
        <f>AP$37*$AT63</f>
        <v>108780.26409055442</v>
      </c>
      <c r="AQ63" s="2"/>
      <c r="AR63" s="40">
        <f>AR$37*$AT63</f>
        <v>217560.52818110885</v>
      </c>
      <c r="AS63" s="40">
        <f>AS$37*$AT63</f>
        <v>326340.79227166326</v>
      </c>
      <c r="AT63" s="2">
        <f t="shared" ref="AT63:AT64" si="72">I63</f>
        <v>1087802.6409055442</v>
      </c>
      <c r="AU63" s="2">
        <f t="shared" si="30"/>
        <v>0</v>
      </c>
    </row>
    <row r="64" spans="1:49" x14ac:dyDescent="0.3">
      <c r="A64">
        <f t="shared" si="4"/>
        <v>2014</v>
      </c>
      <c r="B64" s="2">
        <f t="shared" si="41"/>
        <v>246952.95553837664</v>
      </c>
      <c r="C64" s="2"/>
      <c r="D64" s="2">
        <f t="shared" ref="D64:E64" si="73">AO63*(1+(D30/100))</f>
        <v>247148.76001373967</v>
      </c>
      <c r="E64" s="2">
        <f t="shared" si="73"/>
        <v>116797.36955402829</v>
      </c>
      <c r="F64" s="2"/>
      <c r="G64" s="2">
        <f t="shared" ref="G64:H64" si="74">AR63*(1+(G30/100))</f>
        <v>208335.96178622983</v>
      </c>
      <c r="H64" s="2">
        <f t="shared" si="74"/>
        <v>345138.0219065111</v>
      </c>
      <c r="I64" s="2">
        <f t="shared" si="52"/>
        <v>1164373.0687988854</v>
      </c>
      <c r="J64" s="2">
        <f t="shared" si="16"/>
        <v>76570.427893341286</v>
      </c>
      <c r="K64" s="6">
        <f t="shared" si="53"/>
        <v>7.0390000000000036E-2</v>
      </c>
      <c r="L64" s="7">
        <f t="shared" si="54"/>
        <v>1.07039</v>
      </c>
      <c r="O64">
        <f t="shared" si="55"/>
        <v>2014</v>
      </c>
      <c r="P64" s="6">
        <f t="shared" si="56"/>
        <v>0.21209092013191452</v>
      </c>
      <c r="Q64" s="7"/>
      <c r="R64" s="6">
        <f t="shared" si="57"/>
        <v>0.21225908313792172</v>
      </c>
      <c r="S64" s="6">
        <f t="shared" si="58"/>
        <v>0.10030923308326872</v>
      </c>
      <c r="T64" s="7"/>
      <c r="U64" s="6">
        <f t="shared" si="59"/>
        <v>0.17892543839161429</v>
      </c>
      <c r="V64" s="6">
        <f t="shared" si="60"/>
        <v>0.2964153252552808</v>
      </c>
      <c r="W64" s="6">
        <f t="shared" si="61"/>
        <v>1</v>
      </c>
      <c r="X64" s="7">
        <f t="shared" si="62"/>
        <v>0.7035846747447192</v>
      </c>
      <c r="Y64" s="7">
        <f t="shared" si="63"/>
        <v>0</v>
      </c>
      <c r="Z64" s="6"/>
      <c r="AB64">
        <f t="shared" si="64"/>
        <v>2014</v>
      </c>
      <c r="AC64" s="1" t="b">
        <f t="shared" si="65"/>
        <v>1</v>
      </c>
      <c r="AE64" s="1" t="b">
        <f t="shared" si="66"/>
        <v>1</v>
      </c>
      <c r="AF64" s="1" t="b">
        <f t="shared" si="67"/>
        <v>1</v>
      </c>
      <c r="AH64" s="1" t="b">
        <f t="shared" si="68"/>
        <v>1</v>
      </c>
      <c r="AI64" s="1" t="b">
        <f t="shared" si="69"/>
        <v>1</v>
      </c>
      <c r="AJ64" s="1" t="b">
        <f t="shared" si="70"/>
        <v>1</v>
      </c>
      <c r="AL64">
        <f t="shared" si="71"/>
        <v>2014</v>
      </c>
      <c r="AM64" s="2">
        <f t="shared" ref="AM64" si="75">B64</f>
        <v>246952.95553837664</v>
      </c>
      <c r="AN64" s="2"/>
      <c r="AO64" s="26">
        <f t="shared" ref="AO64" si="76">D64</f>
        <v>247148.76001373967</v>
      </c>
      <c r="AP64" s="26">
        <f t="shared" ref="AP64" si="77">E64</f>
        <v>116797.36955402829</v>
      </c>
      <c r="AQ64" s="2"/>
      <c r="AR64" s="2">
        <f t="shared" ref="AR64" si="78">G64</f>
        <v>208335.96178622983</v>
      </c>
      <c r="AS64" s="2">
        <f t="shared" ref="AS64" si="79">H64</f>
        <v>345138.0219065111</v>
      </c>
      <c r="AT64" s="2">
        <f t="shared" si="72"/>
        <v>1164373.0687988854</v>
      </c>
      <c r="AU64" s="2">
        <f t="shared" si="30"/>
        <v>0</v>
      </c>
      <c r="AV64" s="58"/>
      <c r="AW64" s="6">
        <f>1-(AS64/AT64)</f>
        <v>0.7035846747447192</v>
      </c>
    </row>
    <row r="65" spans="1:48" x14ac:dyDescent="0.3">
      <c r="A65">
        <f t="shared" si="4"/>
        <v>2015</v>
      </c>
      <c r="B65" s="2">
        <f t="shared" si="41"/>
        <v>250039.86748260635</v>
      </c>
      <c r="C65" s="2"/>
      <c r="D65" s="2">
        <f t="shared" ref="D65" si="80">AO64*(1+(D31/100))</f>
        <v>243540.38811753909</v>
      </c>
      <c r="E65" s="2">
        <f t="shared" ref="E65" si="81">AP64*(1+(E31/100))</f>
        <v>112382.42898488602</v>
      </c>
      <c r="F65" s="2"/>
      <c r="G65" s="2">
        <f t="shared" ref="G65" si="82">AR64*(1+(G31/100))</f>
        <v>199231.68025617159</v>
      </c>
      <c r="H65" s="2">
        <f t="shared" ref="H65" si="83">AS64*(1+(H31/100))</f>
        <v>346173.43597223063</v>
      </c>
      <c r="I65" s="2">
        <f t="shared" ref="I65" si="84">SUM(B65:H65)</f>
        <v>1151367.8008134337</v>
      </c>
      <c r="J65" s="2">
        <f t="shared" si="16"/>
        <v>-13005.267985451734</v>
      </c>
      <c r="K65" s="6">
        <f t="shared" ref="K65" si="85">(J65/I64)</f>
        <v>-1.1169330804659866E-2</v>
      </c>
      <c r="L65" s="7">
        <f t="shared" ref="L65" si="86">K65+1</f>
        <v>0.98883066919534013</v>
      </c>
      <c r="O65">
        <f t="shared" ref="O65" si="87">A65</f>
        <v>2015</v>
      </c>
      <c r="P65" s="6">
        <f t="shared" ref="P65" si="88">B65/$I65</f>
        <v>0.21716767422708438</v>
      </c>
      <c r="Q65" s="7"/>
      <c r="R65" s="6">
        <f t="shared" ref="R65" si="89">D65/$I65</f>
        <v>0.21152266716637327</v>
      </c>
      <c r="S65" s="6">
        <f t="shared" ref="S65" si="90">E65/$I65</f>
        <v>9.7607757404270454E-2</v>
      </c>
      <c r="T65" s="7"/>
      <c r="U65" s="6">
        <f t="shared" ref="U65" si="91">G65/$I65</f>
        <v>0.17303912799664514</v>
      </c>
      <c r="V65" s="6">
        <f t="shared" ref="V65" si="92">H65/$I65</f>
        <v>0.30066277320562673</v>
      </c>
      <c r="W65" s="6">
        <f t="shared" ref="W65" si="93">SUM(P65:V65)</f>
        <v>0.99999999999999989</v>
      </c>
      <c r="X65" s="7">
        <f t="shared" ref="X65" si="94">SUM(P65:U65)</f>
        <v>0.69933722679437316</v>
      </c>
      <c r="Y65" s="7">
        <f t="shared" ref="Y65" si="95">W65-(X65+V65)</f>
        <v>0</v>
      </c>
      <c r="Z65" s="6"/>
      <c r="AB65">
        <f t="shared" ref="AB65" si="96">O65</f>
        <v>2015</v>
      </c>
      <c r="AC65" s="1" t="b">
        <f t="shared" ref="AC65" si="97">AND((B65/$I65)&gt;0.15,(B65/$I65)&lt;0.25)</f>
        <v>1</v>
      </c>
      <c r="AE65" s="1" t="b">
        <f t="shared" ref="AE65" si="98">AND((D65/$I65)&gt;0.15,(D65/$I65)&lt;0.25)</f>
        <v>1</v>
      </c>
      <c r="AF65" s="1" t="b">
        <f t="shared" ref="AF65" si="99">AND((E65/$I65)&gt;0.05,(E65/$I65)&lt;0.15)</f>
        <v>1</v>
      </c>
      <c r="AH65" s="1" t="b">
        <f t="shared" ref="AH65" si="100">AND((G65/$I65)&gt;0.15,(G65/$I65)&lt;0.25)</f>
        <v>1</v>
      </c>
      <c r="AI65" s="1" t="b">
        <f t="shared" ref="AI65" si="101">AND((H65/$I65)&gt;0.25,(H65/$I65)&lt;0.35)</f>
        <v>1</v>
      </c>
      <c r="AJ65" s="1" t="b">
        <f t="shared" ref="AJ65" si="102">AND((I65/$I65)&gt;0.999,(I65/$I65)&lt;1.01)</f>
        <v>1</v>
      </c>
      <c r="AL65">
        <f t="shared" ref="AL65" si="103">A65</f>
        <v>2015</v>
      </c>
      <c r="AM65" s="2">
        <f t="shared" ref="AM65" si="104">B65</f>
        <v>250039.86748260635</v>
      </c>
      <c r="AN65" s="2"/>
      <c r="AO65" s="26">
        <f t="shared" ref="AO65" si="105">D65</f>
        <v>243540.38811753909</v>
      </c>
      <c r="AP65" s="26">
        <f t="shared" ref="AP65" si="106">E65</f>
        <v>112382.42898488602</v>
      </c>
      <c r="AQ65" s="2"/>
      <c r="AR65" s="2">
        <f t="shared" ref="AR65" si="107">G65</f>
        <v>199231.68025617159</v>
      </c>
      <c r="AS65" s="2">
        <f t="shared" ref="AS65" si="108">H65</f>
        <v>346173.43597223063</v>
      </c>
      <c r="AT65" s="2">
        <f t="shared" ref="AT65" si="109">I65</f>
        <v>1151367.8008134337</v>
      </c>
      <c r="AU65" s="2">
        <f t="shared" ref="AU65" si="110">AT65-I65</f>
        <v>0</v>
      </c>
      <c r="AV65" s="58"/>
    </row>
    <row r="66" spans="1:48" x14ac:dyDescent="0.3">
      <c r="A66" s="9" t="s">
        <v>82</v>
      </c>
      <c r="B66" s="10">
        <f>AM65</f>
        <v>250039.86748260635</v>
      </c>
      <c r="C66" s="10"/>
      <c r="D66" s="10">
        <f>AO65</f>
        <v>243540.38811753909</v>
      </c>
      <c r="E66" s="10">
        <f>AP65</f>
        <v>112382.42898488602</v>
      </c>
      <c r="F66" s="10"/>
      <c r="G66" s="10">
        <f>AR65</f>
        <v>199231.68025617159</v>
      </c>
      <c r="H66" s="10">
        <f>AS65</f>
        <v>346173.43597223063</v>
      </c>
      <c r="I66" s="10">
        <f>SUM(B66:H66)</f>
        <v>1151367.8008134337</v>
      </c>
      <c r="J66" s="10"/>
      <c r="K66" s="10"/>
      <c r="AM66" s="2"/>
      <c r="AO66" s="2"/>
      <c r="AP66" s="2"/>
      <c r="AR66" s="2"/>
      <c r="AS66" s="2"/>
    </row>
    <row r="67" spans="1:48" x14ac:dyDescent="0.3">
      <c r="A67" s="11" t="s">
        <v>83</v>
      </c>
      <c r="I67" s="6">
        <f>(I66-I37)/I37</f>
        <v>10.513678008134336</v>
      </c>
      <c r="K67" s="6"/>
      <c r="R67" s="7"/>
      <c r="AO67" s="2"/>
    </row>
    <row r="68" spans="1:48" x14ac:dyDescent="0.3">
      <c r="A68" s="1" t="s">
        <v>84</v>
      </c>
      <c r="I68" s="29">
        <f>STDEV(L38:L65)</f>
        <v>0.12286412051095889</v>
      </c>
      <c r="K68" s="30"/>
    </row>
    <row r="69" spans="1:48" x14ac:dyDescent="0.3">
      <c r="A69" s="1" t="s">
        <v>85</v>
      </c>
      <c r="I69" s="13">
        <f>((1+I67)^(1/28))-1</f>
        <v>9.1190315394216848E-2</v>
      </c>
      <c r="K69" s="30"/>
    </row>
    <row r="70" spans="1:48" x14ac:dyDescent="0.3">
      <c r="A70" s="1" t="s">
        <v>86</v>
      </c>
      <c r="I70" s="31">
        <f>J58</f>
        <v>-204879.90248075011</v>
      </c>
    </row>
    <row r="71" spans="1:48" x14ac:dyDescent="0.3">
      <c r="A71" s="1" t="s">
        <v>87</v>
      </c>
      <c r="I71" s="32">
        <f>K58</f>
        <v>-0.26854558425405889</v>
      </c>
    </row>
    <row r="72" spans="1:48" x14ac:dyDescent="0.3">
      <c r="A72" s="3" t="s">
        <v>88</v>
      </c>
      <c r="I72" s="33">
        <f>I65-I66</f>
        <v>0</v>
      </c>
    </row>
    <row r="73" spans="1:48" x14ac:dyDescent="0.3">
      <c r="A73" s="3" t="s">
        <v>157</v>
      </c>
      <c r="I73" s="33">
        <f>((SUM(J38:J65))-(I66-I37))</f>
        <v>0</v>
      </c>
    </row>
    <row r="75" spans="1:48" x14ac:dyDescent="0.3">
      <c r="B75" s="66"/>
      <c r="C75" s="66"/>
      <c r="D75" s="66"/>
      <c r="E75" s="66"/>
      <c r="G75" s="66"/>
      <c r="H75" s="66"/>
      <c r="I75" s="66"/>
    </row>
    <row r="76" spans="1:48" x14ac:dyDescent="0.3">
      <c r="B76" s="2"/>
      <c r="D76" s="2"/>
      <c r="E76" s="2"/>
      <c r="G76" s="2"/>
      <c r="H76" s="2"/>
      <c r="I76" s="2"/>
    </row>
    <row r="77" spans="1:48" x14ac:dyDescent="0.3">
      <c r="B77" s="2"/>
      <c r="D77" s="2"/>
      <c r="E77" s="2"/>
      <c r="G77" s="2"/>
      <c r="H77" s="2"/>
      <c r="I77" s="2"/>
    </row>
  </sheetData>
  <phoneticPr fontId="12"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77"/>
  <sheetViews>
    <sheetView topLeftCell="A44" zoomScaleNormal="100" workbookViewId="0">
      <selection activeCell="A65" sqref="A65"/>
    </sheetView>
  </sheetViews>
  <sheetFormatPr defaultColWidth="8.88671875" defaultRowHeight="14.4" x14ac:dyDescent="0.3"/>
  <cols>
    <col min="1" max="1" width="25.44140625" customWidth="1"/>
    <col min="2" max="2" width="9.88671875" bestFit="1" customWidth="1"/>
    <col min="3" max="4" width="9.33203125" bestFit="1" customWidth="1"/>
    <col min="7" max="7" width="9.88671875" bestFit="1" customWidth="1"/>
    <col min="8" max="8" width="9.33203125" bestFit="1" customWidth="1"/>
    <col min="9" max="9" width="11.6640625" customWidth="1"/>
    <col min="10" max="10" width="10" bestFit="1" customWidth="1"/>
    <col min="28" max="28" width="10.88671875" bestFit="1" customWidth="1"/>
    <col min="29" max="30" width="9.33203125" bestFit="1" customWidth="1"/>
    <col min="33" max="33" width="9.88671875" bestFit="1" customWidth="1"/>
    <col min="34" max="35" width="9.33203125" bestFit="1" customWidth="1"/>
  </cols>
  <sheetData>
    <row r="1" spans="1:8" x14ac:dyDescent="0.3">
      <c r="A1" t="s">
        <v>53</v>
      </c>
    </row>
    <row r="2" spans="1:8" x14ac:dyDescent="0.3">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3">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row>
    <row r="4" spans="1:8" x14ac:dyDescent="0.3">
      <c r="A4" s="17">
        <f>'Non-Rebalanced Portfolio'!A4</f>
        <v>1988</v>
      </c>
      <c r="B4" s="17">
        <f>'Non-Rebalanced Portfolio'!B4</f>
        <v>16.22</v>
      </c>
      <c r="C4" s="17">
        <f>'Non-Rebalanced Portfolio'!C4</f>
        <v>19.747</v>
      </c>
      <c r="D4" s="17"/>
      <c r="E4" s="17"/>
      <c r="F4" s="17">
        <f>'Non-Rebalanced Portfolio'!F4</f>
        <v>18.777999999999999</v>
      </c>
      <c r="G4" s="17"/>
      <c r="H4" s="17">
        <f>'Non-Rebalanced Portfolio'!H4</f>
        <v>7.35</v>
      </c>
    </row>
    <row r="5" spans="1:8" x14ac:dyDescent="0.3">
      <c r="A5" s="17">
        <f>'Non-Rebalanced Portfolio'!A5</f>
        <v>1989</v>
      </c>
      <c r="B5" s="17">
        <f>'Non-Rebalanced Portfolio'!B5</f>
        <v>31.36</v>
      </c>
      <c r="C5" s="17">
        <f>'Non-Rebalanced Portfolio'!C5</f>
        <v>24.096</v>
      </c>
      <c r="D5" s="17"/>
      <c r="E5" s="17"/>
      <c r="F5" s="17">
        <f>'Non-Rebalanced Portfolio'!F5</f>
        <v>25.971</v>
      </c>
      <c r="G5" s="17"/>
      <c r="H5" s="17">
        <f>'Non-Rebalanced Portfolio'!H5</f>
        <v>13.64</v>
      </c>
    </row>
    <row r="6" spans="1:8" x14ac:dyDescent="0.3">
      <c r="A6" s="17">
        <f>'Non-Rebalanced Portfolio'!A6</f>
        <v>1990</v>
      </c>
      <c r="B6" s="17">
        <f>'Non-Rebalanced Portfolio'!B6</f>
        <v>-3.32</v>
      </c>
      <c r="C6" s="17">
        <f>'Non-Rebalanced Portfolio'!C6</f>
        <v>-14.045</v>
      </c>
      <c r="D6" s="17"/>
      <c r="E6" s="17"/>
      <c r="F6" s="17">
        <f>'Non-Rebalanced Portfolio'!F6</f>
        <v>-12.26</v>
      </c>
      <c r="G6" s="17"/>
      <c r="H6" s="17">
        <f>'Non-Rebalanced Portfolio'!H6</f>
        <v>8.65</v>
      </c>
    </row>
    <row r="7" spans="1:8" x14ac:dyDescent="0.3">
      <c r="A7" s="17">
        <f>'Non-Rebalanced Portfolio'!A7</f>
        <v>1991</v>
      </c>
      <c r="B7" s="17">
        <f>'Non-Rebalanced Portfolio'!B7</f>
        <v>30.22</v>
      </c>
      <c r="C7" s="17">
        <f>'Non-Rebalanced Portfolio'!C7</f>
        <v>41.85</v>
      </c>
      <c r="D7" s="17"/>
      <c r="E7" s="17"/>
      <c r="F7" s="17">
        <f>'Non-Rebalanced Portfolio'!F7</f>
        <v>9.9559999999999995</v>
      </c>
      <c r="G7" s="17"/>
      <c r="H7" s="17">
        <f>'Non-Rebalanced Portfolio'!H7</f>
        <v>15.25</v>
      </c>
    </row>
    <row r="8" spans="1:8" x14ac:dyDescent="0.3">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row>
    <row r="9" spans="1:8" x14ac:dyDescent="0.3">
      <c r="A9" s="17">
        <f>'Non-Rebalanced Portfolio'!A9</f>
        <v>1993</v>
      </c>
      <c r="B9" s="17">
        <f>'Non-Rebalanced Portfolio'!B9</f>
        <v>9.89</v>
      </c>
      <c r="C9" s="17">
        <f>'Non-Rebalanced Portfolio'!C9</f>
        <v>14.49</v>
      </c>
      <c r="D9" s="17"/>
      <c r="E9" s="17"/>
      <c r="F9" s="17">
        <f>'Non-Rebalanced Portfolio'!F9</f>
        <v>30.494</v>
      </c>
      <c r="G9" s="17"/>
      <c r="H9" s="17">
        <f>'Non-Rebalanced Portfolio'!H9</f>
        <v>9.68</v>
      </c>
    </row>
    <row r="10" spans="1:8" x14ac:dyDescent="0.3">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row>
    <row r="11" spans="1:8" x14ac:dyDescent="0.3">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row>
    <row r="12" spans="1:8" x14ac:dyDescent="0.3">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row>
    <row r="13" spans="1:8" x14ac:dyDescent="0.3">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row>
    <row r="14" spans="1:8" x14ac:dyDescent="0.3">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row>
    <row r="15" spans="1:8" x14ac:dyDescent="0.3">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row>
    <row r="16" spans="1:8" x14ac:dyDescent="0.3">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row>
    <row r="17" spans="1:8" x14ac:dyDescent="0.3">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row>
    <row r="18" spans="1:8" x14ac:dyDescent="0.3">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row>
    <row r="19" spans="1:8" x14ac:dyDescent="0.3">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row>
    <row r="20" spans="1:8" x14ac:dyDescent="0.3">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row>
    <row r="21" spans="1:8" x14ac:dyDescent="0.3">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row>
    <row r="22" spans="1:8" x14ac:dyDescent="0.3">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row>
    <row r="23" spans="1:8" x14ac:dyDescent="0.3">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row>
    <row r="24" spans="1:8" x14ac:dyDescent="0.3">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row>
    <row r="25" spans="1:8" x14ac:dyDescent="0.3">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row>
    <row r="26" spans="1:8" x14ac:dyDescent="0.3">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row>
    <row r="27" spans="1:8" x14ac:dyDescent="0.3">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row>
    <row r="28" spans="1:8" x14ac:dyDescent="0.3">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row>
    <row r="29" spans="1:8" x14ac:dyDescent="0.3">
      <c r="A29" s="17">
        <f>'Non-Rebalanced Portfolio'!A29</f>
        <v>2013</v>
      </c>
      <c r="B29" s="17">
        <f>'Non-Rebalanced Portfolio'!B29</f>
        <v>32.18</v>
      </c>
      <c r="C29" s="19"/>
      <c r="D29" s="19">
        <f>'Non-Rebalanced Portfolio'!D29</f>
        <v>35</v>
      </c>
      <c r="E29" s="17">
        <f>'Non-Rebalanced Portfolio'!E29</f>
        <v>37.619999999999997</v>
      </c>
      <c r="F29" s="19"/>
      <c r="G29" s="17">
        <f>'Non-Rebalanced Portfolio'!G29</f>
        <v>15.04</v>
      </c>
      <c r="H29" s="17">
        <f>'Non-Rebalanced Portfolio'!H29</f>
        <v>-2.2599999999999998</v>
      </c>
    </row>
    <row r="30" spans="1:8" x14ac:dyDescent="0.3">
      <c r="A30" s="17">
        <f>'Non-Rebalanced Portfolio'!A30</f>
        <v>2014</v>
      </c>
      <c r="B30" s="17">
        <f>'Non-Rebalanced Portfolio'!B30</f>
        <v>13.51</v>
      </c>
      <c r="C30" s="19"/>
      <c r="D30" s="19">
        <f>'Non-Rebalanced Portfolio'!D30</f>
        <v>13.6</v>
      </c>
      <c r="E30" s="17">
        <f>'Non-Rebalanced Portfolio'!E30</f>
        <v>7.37</v>
      </c>
      <c r="F30" s="19"/>
      <c r="G30" s="17">
        <f>'Non-Rebalanced Portfolio'!G30</f>
        <v>-4.24</v>
      </c>
      <c r="H30" s="17">
        <f>'Non-Rebalanced Portfolio'!H30</f>
        <v>5.76</v>
      </c>
    </row>
    <row r="31" spans="1:8" x14ac:dyDescent="0.3">
      <c r="A31" s="17">
        <f>'Non-Rebalanced Portfolio'!A31</f>
        <v>2015</v>
      </c>
      <c r="B31" s="17">
        <f>'Non-Rebalanced Portfolio'!B31</f>
        <v>1.25</v>
      </c>
      <c r="C31" s="19"/>
      <c r="D31" s="19">
        <f>'Non-Rebalanced Portfolio'!D31</f>
        <v>-1.46</v>
      </c>
      <c r="E31" s="17">
        <f>'Non-Rebalanced Portfolio'!E31</f>
        <v>-3.78</v>
      </c>
      <c r="F31" s="19"/>
      <c r="G31" s="17">
        <f>'Non-Rebalanced Portfolio'!G31</f>
        <v>-4.37</v>
      </c>
      <c r="H31" s="17">
        <f>'Non-Rebalanced Portfolio'!H31</f>
        <v>0.3</v>
      </c>
    </row>
    <row r="33" spans="1:36" x14ac:dyDescent="0.3">
      <c r="A33" s="58"/>
    </row>
    <row r="34" spans="1:36" x14ac:dyDescent="0.3">
      <c r="A34" s="20" t="s">
        <v>124</v>
      </c>
      <c r="O34" s="20" t="s">
        <v>129</v>
      </c>
      <c r="AA34" s="20" t="s">
        <v>4</v>
      </c>
    </row>
    <row r="35" spans="1:36" x14ac:dyDescent="0.3">
      <c r="B35" s="4" t="str">
        <f t="shared" ref="B35:H36" si="0">B2</f>
        <v>LC Stocks</v>
      </c>
      <c r="C35" s="4" t="str">
        <f t="shared" si="0"/>
        <v>Ext Mkt</v>
      </c>
      <c r="D35" s="4" t="str">
        <f t="shared" si="0"/>
        <v>Mcap Stk</v>
      </c>
      <c r="E35" s="4" t="str">
        <f t="shared" si="0"/>
        <v>Small Cap</v>
      </c>
      <c r="F35" s="4" t="str">
        <f t="shared" si="0"/>
        <v>Intl Val</v>
      </c>
      <c r="G35" s="4" t="str">
        <f t="shared" si="0"/>
        <v>Tot Int Stk</v>
      </c>
      <c r="H35" s="4" t="str">
        <f t="shared" si="0"/>
        <v>Bonds</v>
      </c>
      <c r="I35" s="5"/>
      <c r="J35" s="5" t="s">
        <v>80</v>
      </c>
      <c r="K35" s="5" t="s">
        <v>77</v>
      </c>
      <c r="L35" s="5" t="s">
        <v>78</v>
      </c>
      <c r="P35" s="4" t="str">
        <f>B35</f>
        <v>LC Stocks</v>
      </c>
      <c r="Q35" s="4" t="str">
        <f t="shared" ref="Q35:V36" si="1">C35</f>
        <v>Ext Mkt</v>
      </c>
      <c r="R35" s="4" t="str">
        <f t="shared" si="1"/>
        <v>Mcap Stk</v>
      </c>
      <c r="S35" s="4" t="str">
        <f t="shared" si="1"/>
        <v>Small Cap</v>
      </c>
      <c r="T35" s="4" t="str">
        <f t="shared" si="1"/>
        <v>Intl Val</v>
      </c>
      <c r="U35" s="4" t="str">
        <f t="shared" si="1"/>
        <v>Tot Int Stk</v>
      </c>
      <c r="V35" s="4" t="str">
        <f t="shared" si="1"/>
        <v>Bonds</v>
      </c>
      <c r="W35" s="5"/>
      <c r="X35" s="5" t="s">
        <v>115</v>
      </c>
      <c r="Y35" s="5" t="s">
        <v>116</v>
      </c>
      <c r="AB35" s="4" t="str">
        <f t="shared" ref="AB35:AH36" si="2">P35</f>
        <v>LC Stocks</v>
      </c>
      <c r="AC35" s="4" t="str">
        <f t="shared" si="2"/>
        <v>Ext Mkt</v>
      </c>
      <c r="AD35" s="4" t="str">
        <f t="shared" si="2"/>
        <v>Mcap Stk</v>
      </c>
      <c r="AE35" s="4" t="str">
        <f t="shared" si="2"/>
        <v>Small Cap</v>
      </c>
      <c r="AF35" s="4" t="str">
        <f t="shared" si="2"/>
        <v>Intl Val</v>
      </c>
      <c r="AG35" s="4" t="str">
        <f t="shared" si="2"/>
        <v>Tot Int Stk</v>
      </c>
      <c r="AH35" s="4" t="str">
        <f t="shared" si="2"/>
        <v>Bonds</v>
      </c>
      <c r="AI35" s="4"/>
      <c r="AJ35" t="s">
        <v>92</v>
      </c>
    </row>
    <row r="36" spans="1:36" x14ac:dyDescent="0.3">
      <c r="A36" t="s">
        <v>76</v>
      </c>
      <c r="B36" s="4" t="str">
        <f t="shared" si="0"/>
        <v>VFINX</v>
      </c>
      <c r="C36" s="4" t="str">
        <f t="shared" si="0"/>
        <v>VEXMX</v>
      </c>
      <c r="D36" s="4" t="str">
        <f t="shared" si="0"/>
        <v>VIMSX</v>
      </c>
      <c r="E36" s="4" t="str">
        <f t="shared" si="0"/>
        <v>NAESX</v>
      </c>
      <c r="F36" s="4" t="str">
        <f t="shared" si="0"/>
        <v>VTRIX</v>
      </c>
      <c r="G36" s="4" t="str">
        <f t="shared" si="0"/>
        <v>VGTSX</v>
      </c>
      <c r="H36" s="4" t="str">
        <f t="shared" si="0"/>
        <v>VBMFX</v>
      </c>
      <c r="I36" s="5" t="s">
        <v>74</v>
      </c>
      <c r="J36" s="5" t="s">
        <v>81</v>
      </c>
      <c r="K36" s="5" t="s">
        <v>79</v>
      </c>
      <c r="L36" s="5" t="s">
        <v>79</v>
      </c>
      <c r="O36" t="s">
        <v>76</v>
      </c>
      <c r="P36" s="4" t="str">
        <f>B36</f>
        <v>VFINX</v>
      </c>
      <c r="Q36" s="4" t="str">
        <f t="shared" si="1"/>
        <v>VEXMX</v>
      </c>
      <c r="R36" s="4" t="str">
        <f t="shared" si="1"/>
        <v>VIMSX</v>
      </c>
      <c r="S36" s="4" t="str">
        <f t="shared" si="1"/>
        <v>NAESX</v>
      </c>
      <c r="T36" s="4" t="str">
        <f t="shared" si="1"/>
        <v>VTRIX</v>
      </c>
      <c r="U36" s="4" t="str">
        <f t="shared" si="1"/>
        <v>VGTSX</v>
      </c>
      <c r="V36" s="4" t="str">
        <f t="shared" si="1"/>
        <v>VBMFX</v>
      </c>
      <c r="W36" s="5" t="s">
        <v>74</v>
      </c>
      <c r="X36" s="5" t="s">
        <v>116</v>
      </c>
      <c r="Y36" s="5" t="s">
        <v>91</v>
      </c>
      <c r="AA36" t="str">
        <f>A36</f>
        <v>Fund</v>
      </c>
      <c r="AB36" s="4" t="str">
        <f t="shared" si="2"/>
        <v>VFINX</v>
      </c>
      <c r="AC36" s="4" t="str">
        <f t="shared" si="2"/>
        <v>VEXMX</v>
      </c>
      <c r="AD36" s="4" t="str">
        <f t="shared" si="2"/>
        <v>VIMSX</v>
      </c>
      <c r="AE36" s="4" t="str">
        <f t="shared" si="2"/>
        <v>NAESX</v>
      </c>
      <c r="AF36" s="4" t="str">
        <f t="shared" si="2"/>
        <v>VTRIX</v>
      </c>
      <c r="AG36" s="4" t="str">
        <f t="shared" si="2"/>
        <v>VGTSX</v>
      </c>
      <c r="AH36" s="4" t="str">
        <f t="shared" si="2"/>
        <v>VBMFX</v>
      </c>
      <c r="AI36" s="4" t="str">
        <f>W36</f>
        <v>Total</v>
      </c>
      <c r="AJ36" t="s">
        <v>91</v>
      </c>
    </row>
    <row r="37" spans="1:36" x14ac:dyDescent="0.3">
      <c r="A37" t="s">
        <v>75</v>
      </c>
      <c r="B37" s="2">
        <f>'Non-Rebalanced Portfolio'!B37</f>
        <v>20000</v>
      </c>
      <c r="C37" s="2">
        <f>'Non-Rebalanced Portfolio'!C37</f>
        <v>30000</v>
      </c>
      <c r="F37" s="2">
        <f>'Non-Rebalanced Portfolio'!F37</f>
        <v>20000</v>
      </c>
      <c r="H37" s="2">
        <f>'Non-Rebalanced Portfolio'!H37</f>
        <v>30000</v>
      </c>
      <c r="I37" s="2">
        <f>SUM(B37:H37)</f>
        <v>100000</v>
      </c>
      <c r="O37" s="21" t="s">
        <v>90</v>
      </c>
      <c r="P37" s="22">
        <f>B37/$I37</f>
        <v>0.2</v>
      </c>
      <c r="Q37" s="22">
        <f>C37/$I37</f>
        <v>0.3</v>
      </c>
      <c r="R37" s="57">
        <f>'Non-Rebalanced Portfolio'!R37</f>
        <v>0.2</v>
      </c>
      <c r="S37" s="57">
        <f>'Non-Rebalanced Portfolio'!S37</f>
        <v>0.1</v>
      </c>
      <c r="T37" s="22">
        <f>F37/$I37</f>
        <v>0.2</v>
      </c>
      <c r="U37" s="57">
        <f>'Non-Rebalanced Portfolio'!U37</f>
        <v>0.2</v>
      </c>
      <c r="V37" s="22">
        <f>H37/$I37</f>
        <v>0.3</v>
      </c>
      <c r="W37" s="22">
        <f>I37/$I37</f>
        <v>1</v>
      </c>
      <c r="X37" s="24"/>
      <c r="Z37" s="24"/>
      <c r="AA37" t="str">
        <f>A37</f>
        <v>Stating Balance</v>
      </c>
      <c r="AB37" s="2">
        <f t="shared" ref="AB37:AB48" si="3">B37</f>
        <v>20000</v>
      </c>
      <c r="AC37" s="2">
        <f t="shared" ref="AC37:AC48" si="4">C37</f>
        <v>30000</v>
      </c>
      <c r="AD37" s="2"/>
      <c r="AE37" s="2"/>
      <c r="AF37" s="2">
        <f t="shared" ref="AF37:AF46" si="5">F37</f>
        <v>20000</v>
      </c>
      <c r="AG37" s="2"/>
      <c r="AH37" s="2">
        <f t="shared" ref="AH37:AH51" si="6">H37</f>
        <v>30000</v>
      </c>
      <c r="AI37" s="2">
        <f>SUM(AB37:AH37)</f>
        <v>100000</v>
      </c>
      <c r="AJ37" s="2">
        <f t="shared" ref="AJ37:AJ62" si="7">AI37-I37</f>
        <v>0</v>
      </c>
    </row>
    <row r="38" spans="1:36" x14ac:dyDescent="0.3">
      <c r="A38">
        <f t="shared" ref="A38:A65" si="8">A4</f>
        <v>1988</v>
      </c>
      <c r="B38" s="2">
        <f t="shared" ref="B38" si="9">B37*(1+(B4/100))</f>
        <v>23243.999999999996</v>
      </c>
      <c r="C38" s="2">
        <f t="shared" ref="C38" si="10">C37*(1+(C4/100))</f>
        <v>35924.1</v>
      </c>
      <c r="D38" s="2"/>
      <c r="E38" s="2"/>
      <c r="F38" s="2">
        <f t="shared" ref="F38" si="11">F37*(1+(F4/100))</f>
        <v>23755.600000000002</v>
      </c>
      <c r="G38" s="2"/>
      <c r="H38" s="2">
        <f t="shared" ref="H38" si="12">H37*(1+(H4/100))</f>
        <v>32204.999999999996</v>
      </c>
      <c r="I38" s="2">
        <f>SUM(B38:H38)</f>
        <v>115128.7</v>
      </c>
      <c r="J38" s="2">
        <f>I38-I37</f>
        <v>15128.699999999997</v>
      </c>
      <c r="K38" s="6">
        <f>(J38/I37)</f>
        <v>0.15128699999999998</v>
      </c>
      <c r="L38" s="7">
        <f>K38+1</f>
        <v>1.1512869999999999</v>
      </c>
      <c r="O38">
        <f>A38</f>
        <v>1988</v>
      </c>
      <c r="P38" s="6">
        <f t="shared" ref="P38:U62" si="13">B38/$I38</f>
        <v>0.2018957914056182</v>
      </c>
      <c r="Q38" s="6">
        <f t="shared" si="13"/>
        <v>0.31203427121126182</v>
      </c>
      <c r="R38" s="7"/>
      <c r="S38" s="7"/>
      <c r="T38" s="6">
        <f t="shared" ref="T38:T46" si="14">F38/$I38</f>
        <v>0.20633951395264608</v>
      </c>
      <c r="U38" s="7"/>
      <c r="V38" s="6">
        <f t="shared" ref="V38:V62" si="15">H38/$I38</f>
        <v>0.27973042343047388</v>
      </c>
      <c r="W38" s="6">
        <f>SUM(P38:V38)</f>
        <v>1</v>
      </c>
      <c r="X38" s="7">
        <f>SUM(P38:U38)</f>
        <v>0.72026957656952606</v>
      </c>
      <c r="Y38" s="7">
        <f>W38-(X38+V38)</f>
        <v>0</v>
      </c>
      <c r="Z38" s="24"/>
      <c r="AA38">
        <f t="shared" ref="AA38:AA62" si="16">O38</f>
        <v>1988</v>
      </c>
      <c r="AB38" s="2">
        <f t="shared" si="3"/>
        <v>23243.999999999996</v>
      </c>
      <c r="AC38" s="2">
        <f t="shared" si="4"/>
        <v>35924.1</v>
      </c>
      <c r="AD38" s="2"/>
      <c r="AE38" s="2"/>
      <c r="AF38" s="2">
        <f t="shared" si="5"/>
        <v>23755.600000000002</v>
      </c>
      <c r="AG38" s="2"/>
      <c r="AH38" s="2">
        <f t="shared" si="6"/>
        <v>32204.999999999996</v>
      </c>
      <c r="AI38" s="2">
        <f t="shared" ref="AI38:AI62" si="17">SUM(AB38:AH38)</f>
        <v>115128.7</v>
      </c>
      <c r="AJ38" s="2">
        <f t="shared" si="7"/>
        <v>0</v>
      </c>
    </row>
    <row r="39" spans="1:36" x14ac:dyDescent="0.3">
      <c r="A39">
        <f t="shared" si="8"/>
        <v>1989</v>
      </c>
      <c r="B39" s="2">
        <f t="shared" ref="B39:B48" si="18">AB38*(1+(B5/100))</f>
        <v>30533.318399999996</v>
      </c>
      <c r="C39" s="2">
        <f t="shared" ref="C39:C48" si="19">AC38*(1+(C5/100))</f>
        <v>44580.371136000002</v>
      </c>
      <c r="D39" s="2"/>
      <c r="E39" s="2"/>
      <c r="F39" s="2">
        <f t="shared" ref="F39:F46" si="20">AF38*(1+(F5/100))</f>
        <v>29925.166876000007</v>
      </c>
      <c r="G39" s="2"/>
      <c r="H39" s="2">
        <f t="shared" ref="H39:H62" si="21">AH38*(1+(H5/100))</f>
        <v>36597.761999999995</v>
      </c>
      <c r="I39" s="2">
        <f t="shared" ref="I39:I62" si="22">SUM(B39:H39)</f>
        <v>141636.61841199998</v>
      </c>
      <c r="J39" s="2">
        <f t="shared" ref="J39:J62" si="23">I39-I38</f>
        <v>26507.918411999985</v>
      </c>
      <c r="K39" s="6">
        <f t="shared" ref="K39:K62" si="24">(J39/I38)</f>
        <v>0.23024596310042575</v>
      </c>
      <c r="L39" s="7">
        <f t="shared" ref="L39:L62" si="25">K39+1</f>
        <v>1.2302459631004257</v>
      </c>
      <c r="O39">
        <f t="shared" ref="O39:O62" si="26">A39</f>
        <v>1989</v>
      </c>
      <c r="P39" s="6">
        <f t="shared" si="13"/>
        <v>0.2155750309653898</v>
      </c>
      <c r="Q39" s="6">
        <f t="shared" si="13"/>
        <v>0.314751733244028</v>
      </c>
      <c r="R39" s="7"/>
      <c r="S39" s="7"/>
      <c r="T39" s="6">
        <f t="shared" si="14"/>
        <v>0.21128128595214071</v>
      </c>
      <c r="U39" s="7"/>
      <c r="V39" s="6">
        <f t="shared" si="15"/>
        <v>0.2583919498384416</v>
      </c>
      <c r="W39" s="6">
        <f t="shared" ref="W39:W62" si="27">SUM(P39:V39)</f>
        <v>1</v>
      </c>
      <c r="X39" s="7">
        <f t="shared" ref="X39:X62" si="28">SUM(P39:U39)</f>
        <v>0.74160805016155851</v>
      </c>
      <c r="Y39" s="7">
        <f t="shared" ref="Y39:Y62" si="29">W39-(X39+V39)</f>
        <v>0</v>
      </c>
      <c r="Z39" s="24"/>
      <c r="AA39">
        <f t="shared" si="16"/>
        <v>1989</v>
      </c>
      <c r="AB39" s="2">
        <f t="shared" si="3"/>
        <v>30533.318399999996</v>
      </c>
      <c r="AC39" s="2">
        <f t="shared" si="4"/>
        <v>44580.371136000002</v>
      </c>
      <c r="AD39" s="2"/>
      <c r="AE39" s="2"/>
      <c r="AF39" s="2">
        <f t="shared" si="5"/>
        <v>29925.166876000007</v>
      </c>
      <c r="AG39" s="2"/>
      <c r="AH39" s="2">
        <f t="shared" si="6"/>
        <v>36597.761999999995</v>
      </c>
      <c r="AI39" s="2">
        <f t="shared" si="17"/>
        <v>141636.61841199998</v>
      </c>
      <c r="AJ39" s="2">
        <f t="shared" si="7"/>
        <v>0</v>
      </c>
    </row>
    <row r="40" spans="1:36" x14ac:dyDescent="0.3">
      <c r="A40">
        <f t="shared" si="8"/>
        <v>1990</v>
      </c>
      <c r="B40" s="2">
        <f t="shared" si="18"/>
        <v>29519.612229119997</v>
      </c>
      <c r="C40" s="2">
        <f t="shared" si="19"/>
        <v>38319.0580099488</v>
      </c>
      <c r="D40" s="2"/>
      <c r="E40" s="2"/>
      <c r="F40" s="2">
        <f t="shared" si="20"/>
        <v>26256.341417002404</v>
      </c>
      <c r="G40" s="2"/>
      <c r="H40" s="2">
        <f t="shared" si="21"/>
        <v>39763.468412999995</v>
      </c>
      <c r="I40" s="2">
        <f t="shared" si="22"/>
        <v>133858.4800690712</v>
      </c>
      <c r="J40" s="2">
        <f t="shared" si="23"/>
        <v>-7778.1383429287816</v>
      </c>
      <c r="K40" s="6">
        <f t="shared" si="24"/>
        <v>-5.4916153958881789E-2</v>
      </c>
      <c r="L40" s="7">
        <f t="shared" si="25"/>
        <v>0.94508384604111817</v>
      </c>
      <c r="O40">
        <f t="shared" si="26"/>
        <v>1990</v>
      </c>
      <c r="P40" s="6">
        <f t="shared" si="13"/>
        <v>0.22052851798322995</v>
      </c>
      <c r="Q40" s="6">
        <f t="shared" si="13"/>
        <v>0.28626544982563751</v>
      </c>
      <c r="R40" s="7"/>
      <c r="S40" s="7"/>
      <c r="T40" s="6">
        <f t="shared" si="14"/>
        <v>0.19615000411967989</v>
      </c>
      <c r="U40" s="7"/>
      <c r="V40" s="6">
        <f t="shared" si="15"/>
        <v>0.29705602807145259</v>
      </c>
      <c r="W40" s="6">
        <f t="shared" si="27"/>
        <v>0.99999999999999989</v>
      </c>
      <c r="X40" s="7">
        <f t="shared" si="28"/>
        <v>0.7029439719285473</v>
      </c>
      <c r="Y40" s="7">
        <f t="shared" si="29"/>
        <v>0</v>
      </c>
      <c r="Z40" s="24"/>
      <c r="AA40">
        <f t="shared" si="16"/>
        <v>1990</v>
      </c>
      <c r="AB40" s="2">
        <f t="shared" si="3"/>
        <v>29519.612229119997</v>
      </c>
      <c r="AC40" s="2">
        <f t="shared" si="4"/>
        <v>38319.0580099488</v>
      </c>
      <c r="AD40" s="2"/>
      <c r="AE40" s="2"/>
      <c r="AF40" s="2">
        <f t="shared" si="5"/>
        <v>26256.341417002404</v>
      </c>
      <c r="AG40" s="2"/>
      <c r="AH40" s="2">
        <f t="shared" si="6"/>
        <v>39763.468412999995</v>
      </c>
      <c r="AI40" s="2">
        <f t="shared" si="17"/>
        <v>133858.4800690712</v>
      </c>
      <c r="AJ40" s="2">
        <f t="shared" si="7"/>
        <v>0</v>
      </c>
    </row>
    <row r="41" spans="1:36" x14ac:dyDescent="0.3">
      <c r="A41">
        <f t="shared" si="8"/>
        <v>1991</v>
      </c>
      <c r="B41" s="2">
        <f t="shared" si="18"/>
        <v>38440.43904476006</v>
      </c>
      <c r="C41" s="2">
        <f t="shared" si="19"/>
        <v>54355.583787112373</v>
      </c>
      <c r="D41" s="2"/>
      <c r="E41" s="2"/>
      <c r="F41" s="2">
        <f t="shared" si="20"/>
        <v>28870.422768479166</v>
      </c>
      <c r="G41" s="2"/>
      <c r="H41" s="2">
        <f t="shared" si="21"/>
        <v>45827.397345982499</v>
      </c>
      <c r="I41" s="2">
        <f t="shared" si="22"/>
        <v>167493.8429463341</v>
      </c>
      <c r="J41" s="2">
        <f t="shared" si="23"/>
        <v>33635.362877262902</v>
      </c>
      <c r="K41" s="6">
        <f t="shared" si="24"/>
        <v>0.25127554757761328</v>
      </c>
      <c r="L41" s="7">
        <f t="shared" si="25"/>
        <v>1.2512755475776132</v>
      </c>
      <c r="O41">
        <f t="shared" si="26"/>
        <v>1991</v>
      </c>
      <c r="P41" s="6">
        <f t="shared" si="13"/>
        <v>0.22950359469080053</v>
      </c>
      <c r="Q41" s="6">
        <f t="shared" si="13"/>
        <v>0.32452287696645771</v>
      </c>
      <c r="R41" s="7"/>
      <c r="S41" s="7"/>
      <c r="T41" s="6">
        <f t="shared" si="14"/>
        <v>0.1723670689061054</v>
      </c>
      <c r="U41" s="7"/>
      <c r="V41" s="6">
        <f t="shared" si="15"/>
        <v>0.27360645943663636</v>
      </c>
      <c r="W41" s="6">
        <f t="shared" si="27"/>
        <v>1</v>
      </c>
      <c r="X41" s="7">
        <f t="shared" si="28"/>
        <v>0.72639354056336369</v>
      </c>
      <c r="Y41" s="7">
        <f t="shared" si="29"/>
        <v>0</v>
      </c>
      <c r="Z41" s="24"/>
      <c r="AA41">
        <f t="shared" si="16"/>
        <v>1991</v>
      </c>
      <c r="AB41" s="2">
        <f t="shared" si="3"/>
        <v>38440.43904476006</v>
      </c>
      <c r="AC41" s="2">
        <f t="shared" si="4"/>
        <v>54355.583787112373</v>
      </c>
      <c r="AD41" s="2"/>
      <c r="AE41" s="2"/>
      <c r="AF41" s="2">
        <f t="shared" si="5"/>
        <v>28870.422768479166</v>
      </c>
      <c r="AG41" s="2"/>
      <c r="AH41" s="2">
        <f t="shared" si="6"/>
        <v>45827.397345982499</v>
      </c>
      <c r="AI41" s="2">
        <f t="shared" si="17"/>
        <v>167493.8429463341</v>
      </c>
      <c r="AJ41" s="2">
        <f t="shared" si="7"/>
        <v>0</v>
      </c>
    </row>
    <row r="42" spans="1:36" x14ac:dyDescent="0.3">
      <c r="A42">
        <f t="shared" si="8"/>
        <v>1992</v>
      </c>
      <c r="B42" s="2">
        <f t="shared" si="18"/>
        <v>41292.719621881261</v>
      </c>
      <c r="C42" s="2">
        <f t="shared" si="19"/>
        <v>61131.550862013799</v>
      </c>
      <c r="D42" s="2"/>
      <c r="E42" s="2"/>
      <c r="F42" s="2">
        <f t="shared" si="20"/>
        <v>26352.633198840096</v>
      </c>
      <c r="G42" s="2"/>
      <c r="H42" s="2">
        <f t="shared" si="21"/>
        <v>49099.473516485647</v>
      </c>
      <c r="I42" s="2">
        <f t="shared" si="22"/>
        <v>177876.37719922079</v>
      </c>
      <c r="J42" s="2">
        <f t="shared" si="23"/>
        <v>10382.53425288669</v>
      </c>
      <c r="K42" s="6">
        <f t="shared" si="24"/>
        <v>6.1987557693170298E-2</v>
      </c>
      <c r="L42" s="7">
        <f t="shared" si="25"/>
        <v>1.0619875576931703</v>
      </c>
      <c r="O42">
        <f t="shared" si="26"/>
        <v>1992</v>
      </c>
      <c r="P42" s="6">
        <f t="shared" si="13"/>
        <v>0.23214279643009364</v>
      </c>
      <c r="Q42" s="6">
        <f t="shared" si="13"/>
        <v>0.343674364322963</v>
      </c>
      <c r="R42" s="7"/>
      <c r="S42" s="7"/>
      <c r="T42" s="6">
        <f t="shared" si="14"/>
        <v>0.14815139375885342</v>
      </c>
      <c r="U42" s="7"/>
      <c r="V42" s="6">
        <f t="shared" si="15"/>
        <v>0.27603144548809</v>
      </c>
      <c r="W42" s="6">
        <f t="shared" si="27"/>
        <v>1</v>
      </c>
      <c r="X42" s="7">
        <f t="shared" si="28"/>
        <v>0.72396855451191011</v>
      </c>
      <c r="Y42" s="7">
        <f t="shared" si="29"/>
        <v>0</v>
      </c>
      <c r="Z42" s="24"/>
      <c r="AA42">
        <f t="shared" si="16"/>
        <v>1992</v>
      </c>
      <c r="AB42" s="2">
        <f t="shared" si="3"/>
        <v>41292.719621881261</v>
      </c>
      <c r="AC42" s="2">
        <f t="shared" si="4"/>
        <v>61131.550862013799</v>
      </c>
      <c r="AD42" s="2"/>
      <c r="AE42" s="2"/>
      <c r="AF42" s="2">
        <f t="shared" si="5"/>
        <v>26352.633198840096</v>
      </c>
      <c r="AG42" s="2"/>
      <c r="AH42" s="2">
        <f t="shared" si="6"/>
        <v>49099.473516485647</v>
      </c>
      <c r="AI42" s="2">
        <f t="shared" si="17"/>
        <v>177876.37719922079</v>
      </c>
      <c r="AJ42" s="2">
        <f t="shared" si="7"/>
        <v>0</v>
      </c>
    </row>
    <row r="43" spans="1:36" x14ac:dyDescent="0.3">
      <c r="A43">
        <f t="shared" si="8"/>
        <v>1993</v>
      </c>
      <c r="B43" s="2">
        <f t="shared" si="18"/>
        <v>45376.569592485313</v>
      </c>
      <c r="C43" s="2">
        <f t="shared" si="19"/>
        <v>69989.512581919596</v>
      </c>
      <c r="D43" s="2"/>
      <c r="E43" s="2"/>
      <c r="F43" s="2">
        <f t="shared" si="20"/>
        <v>34388.605166494395</v>
      </c>
      <c r="G43" s="2"/>
      <c r="H43" s="2">
        <f t="shared" si="21"/>
        <v>53852.302552881454</v>
      </c>
      <c r="I43" s="2">
        <f t="shared" si="22"/>
        <v>203606.98989378076</v>
      </c>
      <c r="J43" s="2">
        <f t="shared" si="23"/>
        <v>25730.612694559968</v>
      </c>
      <c r="K43" s="6">
        <f t="shared" si="24"/>
        <v>0.1446544678934055</v>
      </c>
      <c r="L43" s="7">
        <f t="shared" si="25"/>
        <v>1.1446544678934054</v>
      </c>
      <c r="O43">
        <f t="shared" si="26"/>
        <v>1993</v>
      </c>
      <c r="P43" s="6">
        <f t="shared" si="13"/>
        <v>0.22286351571799037</v>
      </c>
      <c r="Q43" s="6">
        <f t="shared" si="13"/>
        <v>0.34374808359198405</v>
      </c>
      <c r="R43" s="7"/>
      <c r="S43" s="7"/>
      <c r="T43" s="6">
        <f t="shared" si="14"/>
        <v>0.16889697737997356</v>
      </c>
      <c r="U43" s="7"/>
      <c r="V43" s="6">
        <f t="shared" si="15"/>
        <v>0.26449142331005204</v>
      </c>
      <c r="W43" s="6">
        <f t="shared" si="27"/>
        <v>1</v>
      </c>
      <c r="X43" s="7">
        <f t="shared" si="28"/>
        <v>0.73550857668994796</v>
      </c>
      <c r="Y43" s="7">
        <f t="shared" si="29"/>
        <v>0</v>
      </c>
      <c r="Z43" s="24"/>
      <c r="AA43">
        <f t="shared" si="16"/>
        <v>1993</v>
      </c>
      <c r="AB43" s="2">
        <f t="shared" si="3"/>
        <v>45376.569592485313</v>
      </c>
      <c r="AC43" s="2">
        <f t="shared" si="4"/>
        <v>69989.512581919596</v>
      </c>
      <c r="AD43" s="2"/>
      <c r="AE43" s="2"/>
      <c r="AF43" s="2">
        <f t="shared" si="5"/>
        <v>34388.605166494395</v>
      </c>
      <c r="AG43" s="2"/>
      <c r="AH43" s="2">
        <f t="shared" si="6"/>
        <v>53852.302552881454</v>
      </c>
      <c r="AI43" s="2">
        <f t="shared" si="17"/>
        <v>203606.98989378076</v>
      </c>
      <c r="AJ43" s="2">
        <f t="shared" si="7"/>
        <v>0</v>
      </c>
    </row>
    <row r="44" spans="1:36" x14ac:dyDescent="0.3">
      <c r="A44">
        <f t="shared" si="8"/>
        <v>1994</v>
      </c>
      <c r="B44" s="2">
        <f t="shared" si="18"/>
        <v>45912.013113676643</v>
      </c>
      <c r="C44" s="2">
        <f t="shared" si="19"/>
        <v>68754.897579974539</v>
      </c>
      <c r="D44" s="2"/>
      <c r="E44" s="2"/>
      <c r="F44" s="2">
        <f t="shared" si="20"/>
        <v>36195.72636799368</v>
      </c>
      <c r="G44" s="2"/>
      <c r="H44" s="2">
        <f t="shared" si="21"/>
        <v>52419.83130497481</v>
      </c>
      <c r="I44" s="2">
        <f t="shared" si="22"/>
        <v>203282.46836661967</v>
      </c>
      <c r="J44" s="2">
        <f t="shared" si="23"/>
        <v>-324.52152716109413</v>
      </c>
      <c r="K44" s="6">
        <f t="shared" si="24"/>
        <v>-1.5938624078200507E-3</v>
      </c>
      <c r="L44" s="7">
        <f t="shared" si="25"/>
        <v>0.99840613759218</v>
      </c>
      <c r="O44">
        <f t="shared" si="26"/>
        <v>1994</v>
      </c>
      <c r="P44" s="6">
        <f t="shared" si="13"/>
        <v>0.22585328426293205</v>
      </c>
      <c r="Q44" s="6">
        <f t="shared" si="13"/>
        <v>0.33822344903828683</v>
      </c>
      <c r="R44" s="7"/>
      <c r="S44" s="7"/>
      <c r="T44" s="6">
        <f t="shared" si="14"/>
        <v>0.17805631080155293</v>
      </c>
      <c r="U44" s="7"/>
      <c r="V44" s="6">
        <f t="shared" si="15"/>
        <v>0.25786695589722824</v>
      </c>
      <c r="W44" s="6">
        <f t="shared" si="27"/>
        <v>1</v>
      </c>
      <c r="X44" s="7">
        <f t="shared" si="28"/>
        <v>0.74213304410277181</v>
      </c>
      <c r="Y44" s="7">
        <f t="shared" si="29"/>
        <v>0</v>
      </c>
      <c r="Z44" s="24"/>
      <c r="AA44">
        <f t="shared" si="16"/>
        <v>1994</v>
      </c>
      <c r="AB44" s="2">
        <f t="shared" si="3"/>
        <v>45912.013113676643</v>
      </c>
      <c r="AC44" s="2">
        <f t="shared" si="4"/>
        <v>68754.897579974539</v>
      </c>
      <c r="AD44" s="2"/>
      <c r="AE44" s="2"/>
      <c r="AF44" s="2">
        <f t="shared" si="5"/>
        <v>36195.72636799368</v>
      </c>
      <c r="AG44" s="2"/>
      <c r="AH44" s="2">
        <f t="shared" si="6"/>
        <v>52419.83130497481</v>
      </c>
      <c r="AI44" s="2">
        <f t="shared" si="17"/>
        <v>203282.46836661967</v>
      </c>
      <c r="AJ44" s="2">
        <f t="shared" si="7"/>
        <v>0</v>
      </c>
    </row>
    <row r="45" spans="1:36" x14ac:dyDescent="0.3">
      <c r="A45">
        <f t="shared" si="8"/>
        <v>1995</v>
      </c>
      <c r="B45" s="2">
        <f t="shared" si="18"/>
        <v>63106.062024748549</v>
      </c>
      <c r="C45" s="2">
        <f t="shared" si="19"/>
        <v>91991.990315078525</v>
      </c>
      <c r="D45" s="2"/>
      <c r="E45" s="2"/>
      <c r="F45" s="2">
        <f t="shared" si="20"/>
        <v>39687.166133450351</v>
      </c>
      <c r="G45" s="2"/>
      <c r="H45" s="2">
        <f t="shared" si="21"/>
        <v>61949.75663621923</v>
      </c>
      <c r="I45" s="2">
        <f t="shared" si="22"/>
        <v>256734.97510949662</v>
      </c>
      <c r="J45" s="2">
        <f t="shared" si="23"/>
        <v>53452.506742876954</v>
      </c>
      <c r="K45" s="6">
        <f t="shared" si="24"/>
        <v>0.26294695834997156</v>
      </c>
      <c r="L45" s="7">
        <f t="shared" si="25"/>
        <v>1.2629469583499715</v>
      </c>
      <c r="O45">
        <f t="shared" si="26"/>
        <v>1995</v>
      </c>
      <c r="P45" s="6">
        <f t="shared" si="13"/>
        <v>0.24580235707205075</v>
      </c>
      <c r="Q45" s="6">
        <f t="shared" si="13"/>
        <v>0.35831499107530729</v>
      </c>
      <c r="R45" s="7"/>
      <c r="S45" s="7"/>
      <c r="T45" s="6">
        <f t="shared" si="14"/>
        <v>0.15458418205982222</v>
      </c>
      <c r="U45" s="7"/>
      <c r="V45" s="6">
        <f t="shared" si="15"/>
        <v>0.24129846979281985</v>
      </c>
      <c r="W45" s="6">
        <f t="shared" si="27"/>
        <v>1</v>
      </c>
      <c r="X45" s="7">
        <f t="shared" si="28"/>
        <v>0.75870153020718023</v>
      </c>
      <c r="Y45" s="7">
        <f t="shared" si="29"/>
        <v>0</v>
      </c>
      <c r="Z45" s="24"/>
      <c r="AA45">
        <f t="shared" si="16"/>
        <v>1995</v>
      </c>
      <c r="AB45" s="2">
        <f t="shared" si="3"/>
        <v>63106.062024748549</v>
      </c>
      <c r="AC45" s="2">
        <f t="shared" si="4"/>
        <v>91991.990315078525</v>
      </c>
      <c r="AD45" s="2"/>
      <c r="AE45" s="2"/>
      <c r="AF45" s="2">
        <f t="shared" si="5"/>
        <v>39687.166133450351</v>
      </c>
      <c r="AG45" s="2"/>
      <c r="AH45" s="2">
        <f t="shared" si="6"/>
        <v>61949.75663621923</v>
      </c>
      <c r="AI45" s="2">
        <f t="shared" si="17"/>
        <v>256734.97510949662</v>
      </c>
      <c r="AJ45" s="2">
        <f t="shared" si="7"/>
        <v>0</v>
      </c>
    </row>
    <row r="46" spans="1:36" x14ac:dyDescent="0.3">
      <c r="A46">
        <f t="shared" si="8"/>
        <v>1996</v>
      </c>
      <c r="B46" s="2">
        <f t="shared" si="18"/>
        <v>77544.729016011028</v>
      </c>
      <c r="C46" s="2">
        <f t="shared" si="19"/>
        <v>108225.81684598043</v>
      </c>
      <c r="D46" s="2"/>
      <c r="E46" s="2"/>
      <c r="F46" s="2">
        <f t="shared" si="20"/>
        <v>43742.797640627643</v>
      </c>
      <c r="G46" s="2"/>
      <c r="H46" s="2">
        <f t="shared" si="21"/>
        <v>64167.557923795881</v>
      </c>
      <c r="I46" s="2">
        <f t="shared" si="22"/>
        <v>293680.90142641502</v>
      </c>
      <c r="J46" s="2">
        <f t="shared" si="23"/>
        <v>36945.926316918398</v>
      </c>
      <c r="K46" s="6">
        <f t="shared" si="24"/>
        <v>0.14390686855642121</v>
      </c>
      <c r="L46" s="7">
        <f t="shared" si="25"/>
        <v>1.1439068685564213</v>
      </c>
      <c r="O46">
        <f t="shared" si="26"/>
        <v>1996</v>
      </c>
      <c r="P46" s="6">
        <f t="shared" si="13"/>
        <v>0.26404416711939543</v>
      </c>
      <c r="Q46" s="6">
        <f t="shared" si="13"/>
        <v>0.36851499815045891</v>
      </c>
      <c r="R46" s="7"/>
      <c r="S46" s="7"/>
      <c r="T46" s="6">
        <f t="shared" si="14"/>
        <v>0.14894668815087345</v>
      </c>
      <c r="U46" s="6"/>
      <c r="V46" s="6">
        <f t="shared" si="15"/>
        <v>0.2184941465792721</v>
      </c>
      <c r="W46" s="6">
        <f t="shared" si="27"/>
        <v>0.99999999999999989</v>
      </c>
      <c r="X46" s="7">
        <f t="shared" si="28"/>
        <v>0.78150585342072776</v>
      </c>
      <c r="Y46" s="7">
        <f t="shared" si="29"/>
        <v>0</v>
      </c>
      <c r="Z46" s="24"/>
      <c r="AA46">
        <f t="shared" si="16"/>
        <v>1996</v>
      </c>
      <c r="AB46" s="2">
        <f t="shared" si="3"/>
        <v>77544.729016011028</v>
      </c>
      <c r="AC46" s="2">
        <f t="shared" si="4"/>
        <v>108225.81684598043</v>
      </c>
      <c r="AD46" s="2"/>
      <c r="AE46" s="2"/>
      <c r="AF46" s="2">
        <f t="shared" si="5"/>
        <v>43742.797640627643</v>
      </c>
      <c r="AG46" s="2"/>
      <c r="AH46" s="2">
        <f t="shared" si="6"/>
        <v>64167.557923795881</v>
      </c>
      <c r="AI46" s="2">
        <f t="shared" si="17"/>
        <v>293680.90142641502</v>
      </c>
      <c r="AJ46" s="2">
        <f t="shared" si="7"/>
        <v>0</v>
      </c>
    </row>
    <row r="47" spans="1:36" x14ac:dyDescent="0.3">
      <c r="A47">
        <f t="shared" si="8"/>
        <v>1997</v>
      </c>
      <c r="B47" s="2">
        <f t="shared" si="18"/>
        <v>103281.82457642509</v>
      </c>
      <c r="C47" s="2">
        <f t="shared" si="19"/>
        <v>137108.04058766723</v>
      </c>
      <c r="D47" s="2"/>
      <c r="E47" s="2"/>
      <c r="F47" s="2"/>
      <c r="G47" s="2">
        <f>AF45*(1+(G13/100))</f>
        <v>39379.59059591611</v>
      </c>
      <c r="H47" s="2">
        <f t="shared" si="21"/>
        <v>70224.975391802218</v>
      </c>
      <c r="I47" s="2">
        <f t="shared" si="22"/>
        <v>349994.43115181063</v>
      </c>
      <c r="J47" s="2">
        <f t="shared" si="23"/>
        <v>56313.529725395609</v>
      </c>
      <c r="K47" s="6">
        <f t="shared" si="24"/>
        <v>0.19175073847798571</v>
      </c>
      <c r="L47" s="7">
        <f t="shared" si="25"/>
        <v>1.1917507384779857</v>
      </c>
      <c r="O47">
        <f t="shared" si="26"/>
        <v>1997</v>
      </c>
      <c r="P47" s="6">
        <f t="shared" si="13"/>
        <v>0.29509562262613953</v>
      </c>
      <c r="Q47" s="6">
        <f t="shared" si="13"/>
        <v>0.39174349185057861</v>
      </c>
      <c r="R47" s="7"/>
      <c r="S47" s="7"/>
      <c r="T47" s="6"/>
      <c r="U47" s="6">
        <f t="shared" si="13"/>
        <v>0.11251490621242242</v>
      </c>
      <c r="V47" s="6">
        <f t="shared" si="15"/>
        <v>0.20064597931085945</v>
      </c>
      <c r="W47" s="6">
        <f t="shared" si="27"/>
        <v>1</v>
      </c>
      <c r="X47" s="7">
        <f t="shared" si="28"/>
        <v>0.79935402068914052</v>
      </c>
      <c r="Y47" s="7">
        <f t="shared" si="29"/>
        <v>0</v>
      </c>
      <c r="Z47" s="24"/>
      <c r="AA47">
        <f t="shared" si="16"/>
        <v>1997</v>
      </c>
      <c r="AB47" s="2">
        <f t="shared" si="3"/>
        <v>103281.82457642509</v>
      </c>
      <c r="AC47" s="2">
        <f t="shared" si="4"/>
        <v>137108.04058766723</v>
      </c>
      <c r="AD47" s="2"/>
      <c r="AE47" s="2"/>
      <c r="AF47" s="2"/>
      <c r="AG47" s="2">
        <f>G47</f>
        <v>39379.59059591611</v>
      </c>
      <c r="AH47" s="2">
        <f t="shared" si="6"/>
        <v>70224.975391802218</v>
      </c>
      <c r="AI47" s="2">
        <f t="shared" si="17"/>
        <v>349994.43115181063</v>
      </c>
      <c r="AJ47" s="2">
        <f t="shared" si="7"/>
        <v>0</v>
      </c>
    </row>
    <row r="48" spans="1:36" x14ac:dyDescent="0.3">
      <c r="A48">
        <f t="shared" si="8"/>
        <v>1998</v>
      </c>
      <c r="B48" s="2">
        <f t="shared" si="18"/>
        <v>132882.39550002851</v>
      </c>
      <c r="C48" s="2">
        <f t="shared" si="19"/>
        <v>148560.67521795508</v>
      </c>
      <c r="D48" s="2"/>
      <c r="E48" s="2"/>
      <c r="F48" s="2"/>
      <c r="G48" s="2">
        <f t="shared" ref="G48:G62" si="30">AG47*(1+(G14/100))</f>
        <v>45523.988116596898</v>
      </c>
      <c r="H48" s="2">
        <f t="shared" si="21"/>
        <v>76250.278280418861</v>
      </c>
      <c r="I48" s="2">
        <f t="shared" si="22"/>
        <v>403217.3371149993</v>
      </c>
      <c r="J48" s="2">
        <f t="shared" si="23"/>
        <v>53222.905963188678</v>
      </c>
      <c r="K48" s="6">
        <f t="shared" si="24"/>
        <v>0.15206786516012638</v>
      </c>
      <c r="L48" s="7">
        <f t="shared" si="25"/>
        <v>1.1520678651601264</v>
      </c>
      <c r="O48">
        <f t="shared" si="26"/>
        <v>1998</v>
      </c>
      <c r="P48" s="6">
        <f t="shared" si="13"/>
        <v>0.32955526280391528</v>
      </c>
      <c r="Q48" s="6">
        <f t="shared" si="13"/>
        <v>0.36843821320010589</v>
      </c>
      <c r="R48" s="7"/>
      <c r="S48" s="7"/>
      <c r="T48" s="7"/>
      <c r="U48" s="6">
        <f t="shared" si="13"/>
        <v>0.11290186191476499</v>
      </c>
      <c r="V48" s="6">
        <f t="shared" si="15"/>
        <v>0.18910466208121393</v>
      </c>
      <c r="W48" s="6">
        <f t="shared" si="27"/>
        <v>1.0000000000000002</v>
      </c>
      <c r="X48" s="7">
        <f t="shared" si="28"/>
        <v>0.81089533791878621</v>
      </c>
      <c r="Y48" s="7">
        <f t="shared" si="29"/>
        <v>0</v>
      </c>
      <c r="Z48" s="24"/>
      <c r="AA48">
        <f t="shared" si="16"/>
        <v>1998</v>
      </c>
      <c r="AB48" s="2">
        <f t="shared" si="3"/>
        <v>132882.39550002851</v>
      </c>
      <c r="AC48" s="2">
        <f t="shared" si="4"/>
        <v>148560.67521795508</v>
      </c>
      <c r="AD48" s="2"/>
      <c r="AE48" s="2"/>
      <c r="AF48" s="2"/>
      <c r="AG48" s="2">
        <f>G48</f>
        <v>45523.988116596898</v>
      </c>
      <c r="AH48" s="2">
        <f t="shared" si="6"/>
        <v>76250.278280418861</v>
      </c>
      <c r="AI48" s="2">
        <f t="shared" si="17"/>
        <v>403217.3371149993</v>
      </c>
      <c r="AJ48" s="2">
        <f t="shared" si="7"/>
        <v>0</v>
      </c>
    </row>
    <row r="49" spans="1:36" x14ac:dyDescent="0.3">
      <c r="A49">
        <f t="shared" si="8"/>
        <v>1999</v>
      </c>
      <c r="B49" s="2">
        <f t="shared" ref="B49:B65" si="31">AB48*(1+(B15/100))</f>
        <v>160880.71623188452</v>
      </c>
      <c r="C49" s="2"/>
      <c r="D49" s="2">
        <f>($AC47*0.67)*(1+(D15/100))</f>
        <v>105934.78628794564</v>
      </c>
      <c r="E49" s="2">
        <f>($AC47*0.33)*(1+(E15/100))</f>
        <v>55712.330393548058</v>
      </c>
      <c r="F49" s="2"/>
      <c r="G49" s="2">
        <f t="shared" si="30"/>
        <v>59144.310121201524</v>
      </c>
      <c r="H49" s="2">
        <f t="shared" si="21"/>
        <v>75670.776165487667</v>
      </c>
      <c r="I49" s="2">
        <f t="shared" si="22"/>
        <v>457342.91920006735</v>
      </c>
      <c r="J49" s="2">
        <f t="shared" si="23"/>
        <v>54125.582085068047</v>
      </c>
      <c r="K49" s="6">
        <f t="shared" si="24"/>
        <v>0.1342342630213621</v>
      </c>
      <c r="L49" s="7">
        <f t="shared" si="25"/>
        <v>1.1342342630213622</v>
      </c>
      <c r="O49">
        <f t="shared" si="26"/>
        <v>1999</v>
      </c>
      <c r="P49" s="6">
        <f t="shared" si="13"/>
        <v>0.35177261848347607</v>
      </c>
      <c r="Q49" s="7"/>
      <c r="R49" s="6">
        <f t="shared" si="13"/>
        <v>0.23163097500937549</v>
      </c>
      <c r="S49" s="6">
        <f t="shared" si="13"/>
        <v>0.12181741108180659</v>
      </c>
      <c r="T49" s="7"/>
      <c r="U49" s="6">
        <f t="shared" si="13"/>
        <v>0.12932158264229843</v>
      </c>
      <c r="V49" s="6">
        <f t="shared" si="15"/>
        <v>0.16545741278304352</v>
      </c>
      <c r="W49" s="6">
        <f t="shared" si="27"/>
        <v>1</v>
      </c>
      <c r="X49" s="7">
        <f t="shared" si="28"/>
        <v>0.83454258721695651</v>
      </c>
      <c r="Y49" s="7">
        <f t="shared" si="29"/>
        <v>0</v>
      </c>
      <c r="Z49" s="24"/>
      <c r="AA49">
        <f t="shared" si="16"/>
        <v>1999</v>
      </c>
      <c r="AB49" s="2">
        <f>B49</f>
        <v>160880.71623188452</v>
      </c>
      <c r="AC49" s="2"/>
      <c r="AD49" s="2">
        <f t="shared" ref="AD49:AE51" si="32">D49</f>
        <v>105934.78628794564</v>
      </c>
      <c r="AE49" s="2">
        <f t="shared" si="32"/>
        <v>55712.330393548058</v>
      </c>
      <c r="AF49" s="2"/>
      <c r="AG49" s="2">
        <f>G49</f>
        <v>59144.310121201524</v>
      </c>
      <c r="AH49" s="2">
        <f t="shared" si="6"/>
        <v>75670.776165487667</v>
      </c>
      <c r="AI49" s="2">
        <f t="shared" si="17"/>
        <v>457342.91920006735</v>
      </c>
      <c r="AJ49" s="2">
        <f t="shared" si="7"/>
        <v>0</v>
      </c>
    </row>
    <row r="50" spans="1:36" x14ac:dyDescent="0.3">
      <c r="A50">
        <f t="shared" si="8"/>
        <v>2000</v>
      </c>
      <c r="B50" s="2">
        <f t="shared" si="31"/>
        <v>146304.92334127577</v>
      </c>
      <c r="C50" s="2"/>
      <c r="D50" s="2">
        <f t="shared" ref="D50:D62" si="33">AD49*(1+(D16/100))</f>
        <v>125106.86391033803</v>
      </c>
      <c r="E50" s="2">
        <f t="shared" ref="E50:E62" si="34">AE49*(1+(E16/100))</f>
        <v>54227.596788560004</v>
      </c>
      <c r="F50" s="2"/>
      <c r="G50" s="2">
        <f t="shared" si="30"/>
        <v>49909.517538877124</v>
      </c>
      <c r="H50" s="2">
        <f t="shared" si="21"/>
        <v>84289.67757073672</v>
      </c>
      <c r="I50" s="2">
        <f t="shared" si="22"/>
        <v>459838.57914978766</v>
      </c>
      <c r="J50" s="2">
        <f t="shared" si="23"/>
        <v>2495.6599497203133</v>
      </c>
      <c r="K50" s="6">
        <f t="shared" si="24"/>
        <v>5.4568680194840239E-3</v>
      </c>
      <c r="L50" s="7">
        <f t="shared" si="25"/>
        <v>1.005456868019484</v>
      </c>
      <c r="O50">
        <f t="shared" si="26"/>
        <v>2000</v>
      </c>
      <c r="P50" s="6">
        <f t="shared" si="13"/>
        <v>0.31816583030459145</v>
      </c>
      <c r="Q50" s="7"/>
      <c r="R50" s="6">
        <f t="shared" si="13"/>
        <v>0.27206691561558988</v>
      </c>
      <c r="S50" s="6">
        <f t="shared" si="13"/>
        <v>0.11792746247786209</v>
      </c>
      <c r="T50" s="7"/>
      <c r="U50" s="6">
        <f t="shared" si="13"/>
        <v>0.10853703843456687</v>
      </c>
      <c r="V50" s="6">
        <f t="shared" si="15"/>
        <v>0.1833027531673897</v>
      </c>
      <c r="W50" s="6">
        <f t="shared" si="27"/>
        <v>1</v>
      </c>
      <c r="X50" s="7">
        <f t="shared" si="28"/>
        <v>0.81669724683261025</v>
      </c>
      <c r="Y50" s="7">
        <f t="shared" si="29"/>
        <v>0</v>
      </c>
      <c r="Z50" s="24"/>
      <c r="AA50">
        <f t="shared" si="16"/>
        <v>2000</v>
      </c>
      <c r="AB50" s="2">
        <f>B50</f>
        <v>146304.92334127577</v>
      </c>
      <c r="AC50" s="2"/>
      <c r="AD50" s="2">
        <f t="shared" si="32"/>
        <v>125106.86391033803</v>
      </c>
      <c r="AE50" s="2">
        <f t="shared" si="32"/>
        <v>54227.596788560004</v>
      </c>
      <c r="AF50" s="2"/>
      <c r="AG50" s="2">
        <f>G50</f>
        <v>49909.517538877124</v>
      </c>
      <c r="AH50" s="2">
        <f t="shared" si="6"/>
        <v>84289.67757073672</v>
      </c>
      <c r="AI50" s="2">
        <f t="shared" si="17"/>
        <v>459838.57914978766</v>
      </c>
      <c r="AJ50" s="2">
        <f t="shared" si="7"/>
        <v>0</v>
      </c>
    </row>
    <row r="51" spans="1:36" x14ac:dyDescent="0.3">
      <c r="A51">
        <f t="shared" si="8"/>
        <v>2001</v>
      </c>
      <c r="B51" s="2">
        <f t="shared" si="31"/>
        <v>128719.07155565443</v>
      </c>
      <c r="C51" s="2"/>
      <c r="D51" s="2">
        <f t="shared" si="33"/>
        <v>124482.58065942544</v>
      </c>
      <c r="E51" s="2">
        <f t="shared" si="34"/>
        <v>55908.65228900536</v>
      </c>
      <c r="F51" s="2"/>
      <c r="G51" s="2">
        <f t="shared" si="30"/>
        <v>39851.252469267216</v>
      </c>
      <c r="H51" s="2">
        <f t="shared" si="21"/>
        <v>91395.297389949832</v>
      </c>
      <c r="I51" s="2">
        <f t="shared" si="22"/>
        <v>440356.85436330229</v>
      </c>
      <c r="J51" s="2">
        <f t="shared" si="23"/>
        <v>-19481.724786485371</v>
      </c>
      <c r="K51" s="6">
        <f t="shared" si="24"/>
        <v>-4.2366442638427253E-2</v>
      </c>
      <c r="L51" s="7">
        <f t="shared" si="25"/>
        <v>0.95763355736157274</v>
      </c>
      <c r="O51">
        <f t="shared" si="26"/>
        <v>2001</v>
      </c>
      <c r="P51" s="6">
        <f t="shared" si="13"/>
        <v>0.29230627451403057</v>
      </c>
      <c r="Q51" s="7"/>
      <c r="R51" s="6">
        <f t="shared" si="13"/>
        <v>0.2826856887226401</v>
      </c>
      <c r="S51" s="6">
        <f t="shared" si="13"/>
        <v>0.12696214839176712</v>
      </c>
      <c r="T51" s="7"/>
      <c r="U51" s="6">
        <f t="shared" si="13"/>
        <v>9.0497631805656467E-2</v>
      </c>
      <c r="V51" s="6">
        <f t="shared" si="15"/>
        <v>0.2075482565659057</v>
      </c>
      <c r="W51" s="6">
        <f t="shared" si="27"/>
        <v>1</v>
      </c>
      <c r="X51" s="7">
        <f t="shared" si="28"/>
        <v>0.7924517434340943</v>
      </c>
      <c r="Y51" s="7">
        <f t="shared" si="29"/>
        <v>0</v>
      </c>
      <c r="Z51" s="24"/>
      <c r="AA51">
        <f t="shared" si="16"/>
        <v>2001</v>
      </c>
      <c r="AB51" s="2">
        <f>B51</f>
        <v>128719.07155565443</v>
      </c>
      <c r="AC51" s="2"/>
      <c r="AD51" s="2">
        <f t="shared" si="32"/>
        <v>124482.58065942544</v>
      </c>
      <c r="AE51" s="2">
        <f t="shared" si="32"/>
        <v>55908.65228900536</v>
      </c>
      <c r="AF51" s="2"/>
      <c r="AG51" s="2">
        <f>G51</f>
        <v>39851.252469267216</v>
      </c>
      <c r="AH51" s="2">
        <f t="shared" si="6"/>
        <v>91395.297389949832</v>
      </c>
      <c r="AI51" s="2">
        <f t="shared" si="17"/>
        <v>440356.85436330229</v>
      </c>
      <c r="AJ51" s="2">
        <f t="shared" si="7"/>
        <v>0</v>
      </c>
    </row>
    <row r="52" spans="1:36" x14ac:dyDescent="0.3">
      <c r="A52">
        <f t="shared" si="8"/>
        <v>2002</v>
      </c>
      <c r="B52" s="2">
        <f t="shared" si="31"/>
        <v>100207.79720607697</v>
      </c>
      <c r="C52" s="2"/>
      <c r="D52" s="2">
        <f t="shared" si="33"/>
        <v>106298.16527669657</v>
      </c>
      <c r="E52" s="2">
        <f t="shared" si="34"/>
        <v>44714.621927700711</v>
      </c>
      <c r="F52" s="2"/>
      <c r="G52" s="2">
        <f t="shared" si="30"/>
        <v>33840.488059327639</v>
      </c>
      <c r="H52" s="2">
        <f t="shared" si="21"/>
        <v>98944.548954359692</v>
      </c>
      <c r="I52" s="2">
        <f t="shared" si="22"/>
        <v>384005.6214241616</v>
      </c>
      <c r="J52" s="2">
        <f t="shared" si="23"/>
        <v>-56351.232939140697</v>
      </c>
      <c r="K52" s="6">
        <f t="shared" si="24"/>
        <v>-0.12796719837736401</v>
      </c>
      <c r="L52" s="7">
        <f t="shared" si="25"/>
        <v>0.87203280162263597</v>
      </c>
      <c r="O52">
        <f t="shared" si="26"/>
        <v>2002</v>
      </c>
      <c r="P52" s="6">
        <f t="shared" si="13"/>
        <v>0.26095398508604201</v>
      </c>
      <c r="Q52" s="7"/>
      <c r="R52" s="6">
        <f t="shared" si="13"/>
        <v>0.27681408642526789</v>
      </c>
      <c r="S52" s="6">
        <f t="shared" si="13"/>
        <v>0.11644262331855351</v>
      </c>
      <c r="T52" s="7"/>
      <c r="U52" s="6">
        <f t="shared" si="13"/>
        <v>8.8124980915184073E-2</v>
      </c>
      <c r="V52" s="6">
        <f t="shared" si="15"/>
        <v>0.25766432425495245</v>
      </c>
      <c r="W52" s="6">
        <f t="shared" si="27"/>
        <v>0.99999999999999989</v>
      </c>
      <c r="X52" s="7">
        <f t="shared" si="28"/>
        <v>0.74233567574504744</v>
      </c>
      <c r="Y52" s="7">
        <f t="shared" si="29"/>
        <v>0</v>
      </c>
      <c r="Z52" s="24"/>
      <c r="AA52">
        <f t="shared" si="16"/>
        <v>2002</v>
      </c>
      <c r="AB52" s="40">
        <v>0</v>
      </c>
      <c r="AC52" s="40"/>
      <c r="AD52" s="40">
        <v>0</v>
      </c>
      <c r="AE52" s="40">
        <v>0</v>
      </c>
      <c r="AF52" s="40"/>
      <c r="AG52" s="40">
        <v>0</v>
      </c>
      <c r="AH52" s="40">
        <f>I52</f>
        <v>384005.6214241616</v>
      </c>
      <c r="AI52" s="2">
        <f t="shared" si="17"/>
        <v>384005.6214241616</v>
      </c>
      <c r="AJ52" s="2">
        <f t="shared" si="7"/>
        <v>0</v>
      </c>
    </row>
    <row r="53" spans="1:36" x14ac:dyDescent="0.3">
      <c r="A53">
        <f t="shared" si="8"/>
        <v>2003</v>
      </c>
      <c r="B53" s="2">
        <f t="shared" si="31"/>
        <v>0</v>
      </c>
      <c r="C53" s="2"/>
      <c r="D53" s="2">
        <f t="shared" si="33"/>
        <v>0</v>
      </c>
      <c r="E53" s="2">
        <f t="shared" si="34"/>
        <v>0</v>
      </c>
      <c r="F53" s="2"/>
      <c r="G53" s="2">
        <f t="shared" si="30"/>
        <v>0</v>
      </c>
      <c r="H53" s="2">
        <f t="shared" si="21"/>
        <v>399250.64459470083</v>
      </c>
      <c r="I53" s="2">
        <f t="shared" si="22"/>
        <v>399250.64459470083</v>
      </c>
      <c r="J53" s="2">
        <f t="shared" si="23"/>
        <v>15245.023170539236</v>
      </c>
      <c r="K53" s="6">
        <f t="shared" si="24"/>
        <v>3.9700000000000055E-2</v>
      </c>
      <c r="L53" s="7">
        <f t="shared" si="25"/>
        <v>1.0397000000000001</v>
      </c>
      <c r="O53">
        <f t="shared" si="26"/>
        <v>2003</v>
      </c>
      <c r="P53" s="6">
        <f t="shared" si="13"/>
        <v>0</v>
      </c>
      <c r="Q53" s="7"/>
      <c r="R53" s="6">
        <f t="shared" si="13"/>
        <v>0</v>
      </c>
      <c r="S53" s="6">
        <f t="shared" si="13"/>
        <v>0</v>
      </c>
      <c r="T53" s="7"/>
      <c r="U53" s="6">
        <f t="shared" si="13"/>
        <v>0</v>
      </c>
      <c r="V53" s="6">
        <f t="shared" si="15"/>
        <v>1</v>
      </c>
      <c r="W53" s="6">
        <f t="shared" si="27"/>
        <v>1</v>
      </c>
      <c r="X53" s="7">
        <f t="shared" si="28"/>
        <v>0</v>
      </c>
      <c r="Y53" s="7">
        <f t="shared" si="29"/>
        <v>0</v>
      </c>
      <c r="Z53" s="24"/>
      <c r="AA53">
        <f t="shared" si="16"/>
        <v>2003</v>
      </c>
      <c r="AB53" s="40">
        <f>$I53*P$37</f>
        <v>79850.128918940172</v>
      </c>
      <c r="AC53" s="40"/>
      <c r="AD53" s="40">
        <f>$I53*R$37</f>
        <v>79850.128918940172</v>
      </c>
      <c r="AE53" s="40">
        <f>$I53*S$37</f>
        <v>39925.064459470086</v>
      </c>
      <c r="AF53" s="40"/>
      <c r="AG53" s="40">
        <f>$I53*U$37</f>
        <v>79850.128918940172</v>
      </c>
      <c r="AH53" s="40">
        <f>$I53*V$37</f>
        <v>119775.19337841024</v>
      </c>
      <c r="AI53" s="2">
        <f t="shared" si="17"/>
        <v>399250.64459470083</v>
      </c>
      <c r="AJ53" s="2">
        <f t="shared" si="7"/>
        <v>0</v>
      </c>
    </row>
    <row r="54" spans="1:36" x14ac:dyDescent="0.3">
      <c r="A54">
        <f t="shared" si="8"/>
        <v>2004</v>
      </c>
      <c r="B54" s="2">
        <f t="shared" si="31"/>
        <v>88426.032764834337</v>
      </c>
      <c r="C54" s="2"/>
      <c r="D54" s="2">
        <f t="shared" si="33"/>
        <v>96102.025657812061</v>
      </c>
      <c r="E54" s="2">
        <f t="shared" si="34"/>
        <v>47868.95453497085</v>
      </c>
      <c r="F54" s="2"/>
      <c r="G54" s="2">
        <f t="shared" si="30"/>
        <v>96488.500281779736</v>
      </c>
      <c r="H54" s="2">
        <f t="shared" si="21"/>
        <v>124853.66157765484</v>
      </c>
      <c r="I54" s="2">
        <f t="shared" si="22"/>
        <v>453739.1748170518</v>
      </c>
      <c r="J54" s="2">
        <f>I54-I53</f>
        <v>54488.530222350964</v>
      </c>
      <c r="K54" s="6">
        <f>(J54/I53)</f>
        <v>0.13647699999999996</v>
      </c>
      <c r="L54" s="7">
        <f t="shared" si="25"/>
        <v>1.136477</v>
      </c>
      <c r="O54">
        <f t="shared" si="26"/>
        <v>2004</v>
      </c>
      <c r="P54" s="6">
        <f t="shared" si="13"/>
        <v>0.19488295847606243</v>
      </c>
      <c r="Q54" s="7"/>
      <c r="R54" s="6">
        <f t="shared" si="13"/>
        <v>0.21180015081695452</v>
      </c>
      <c r="S54" s="6">
        <f t="shared" si="13"/>
        <v>0.1054988354361769</v>
      </c>
      <c r="T54" s="7"/>
      <c r="U54" s="6">
        <f t="shared" si="13"/>
        <v>0.21265190584587285</v>
      </c>
      <c r="V54" s="6">
        <f t="shared" si="15"/>
        <v>0.27516614942493339</v>
      </c>
      <c r="W54" s="6">
        <f t="shared" si="27"/>
        <v>1</v>
      </c>
      <c r="X54" s="7">
        <f t="shared" si="28"/>
        <v>0.72483385057506666</v>
      </c>
      <c r="Y54" s="7">
        <f t="shared" si="29"/>
        <v>0</v>
      </c>
      <c r="Z54" s="24"/>
      <c r="AA54">
        <f t="shared" si="16"/>
        <v>2004</v>
      </c>
      <c r="AB54" s="2">
        <f>B54</f>
        <v>88426.032764834337</v>
      </c>
      <c r="AC54" s="2"/>
      <c r="AD54" s="2">
        <f t="shared" ref="AD54:AE57" si="35">D54</f>
        <v>96102.025657812061</v>
      </c>
      <c r="AE54" s="2">
        <f t="shared" si="35"/>
        <v>47868.95453497085</v>
      </c>
      <c r="AF54" s="2"/>
      <c r="AG54" s="2">
        <f t="shared" ref="AG54:AH57" si="36">G54</f>
        <v>96488.500281779736</v>
      </c>
      <c r="AH54" s="2">
        <f t="shared" si="36"/>
        <v>124853.66157765484</v>
      </c>
      <c r="AI54" s="2">
        <f t="shared" si="17"/>
        <v>453739.1748170518</v>
      </c>
      <c r="AJ54" s="2">
        <f t="shared" si="7"/>
        <v>0</v>
      </c>
    </row>
    <row r="55" spans="1:36" x14ac:dyDescent="0.3">
      <c r="A55">
        <f t="shared" si="8"/>
        <v>2005</v>
      </c>
      <c r="B55" s="2">
        <f t="shared" si="31"/>
        <v>92643.954527716938</v>
      </c>
      <c r="C55" s="2"/>
      <c r="D55" s="2">
        <f t="shared" si="33"/>
        <v>109489.99885220187</v>
      </c>
      <c r="E55" s="2">
        <f t="shared" si="34"/>
        <v>51393.545657380761</v>
      </c>
      <c r="F55" s="2"/>
      <c r="G55" s="2">
        <f t="shared" si="30"/>
        <v>111512.72466065566</v>
      </c>
      <c r="H55" s="2">
        <f t="shared" si="21"/>
        <v>127850.14945551856</v>
      </c>
      <c r="I55" s="2">
        <f t="shared" si="22"/>
        <v>492890.37315347383</v>
      </c>
      <c r="J55" s="2">
        <f t="shared" si="23"/>
        <v>39151.198336422036</v>
      </c>
      <c r="K55" s="6">
        <f t="shared" si="24"/>
        <v>8.6285691228243297E-2</v>
      </c>
      <c r="L55" s="7">
        <f t="shared" si="25"/>
        <v>1.0862856912282433</v>
      </c>
      <c r="O55">
        <f t="shared" si="26"/>
        <v>2005</v>
      </c>
      <c r="P55" s="6">
        <f t="shared" si="13"/>
        <v>0.18796056805692554</v>
      </c>
      <c r="Q55" s="7"/>
      <c r="R55" s="6">
        <f t="shared" si="13"/>
        <v>0.22213864343037068</v>
      </c>
      <c r="S55" s="6">
        <f t="shared" si="13"/>
        <v>0.10426972904455183</v>
      </c>
      <c r="T55" s="7"/>
      <c r="U55" s="6">
        <f t="shared" si="13"/>
        <v>0.22624244808679467</v>
      </c>
      <c r="V55" s="6">
        <f t="shared" si="15"/>
        <v>0.25938861138135721</v>
      </c>
      <c r="W55" s="6">
        <f t="shared" si="27"/>
        <v>1</v>
      </c>
      <c r="X55" s="7">
        <f t="shared" si="28"/>
        <v>0.74061138861864273</v>
      </c>
      <c r="Y55" s="7">
        <f t="shared" si="29"/>
        <v>0</v>
      </c>
      <c r="Z55" s="24"/>
      <c r="AA55">
        <f t="shared" si="16"/>
        <v>2005</v>
      </c>
      <c r="AB55" s="2">
        <f>B55</f>
        <v>92643.954527716938</v>
      </c>
      <c r="AC55" s="2"/>
      <c r="AD55" s="2">
        <f t="shared" si="35"/>
        <v>109489.99885220187</v>
      </c>
      <c r="AE55" s="2">
        <f t="shared" si="35"/>
        <v>51393.545657380761</v>
      </c>
      <c r="AF55" s="2"/>
      <c r="AG55" s="2">
        <f t="shared" si="36"/>
        <v>111512.72466065566</v>
      </c>
      <c r="AH55" s="2">
        <f t="shared" si="36"/>
        <v>127850.14945551856</v>
      </c>
      <c r="AI55" s="2">
        <f t="shared" si="17"/>
        <v>492890.37315347383</v>
      </c>
      <c r="AJ55" s="2">
        <f t="shared" si="7"/>
        <v>0</v>
      </c>
    </row>
    <row r="56" spans="1:36" x14ac:dyDescent="0.3">
      <c r="A56">
        <f t="shared" si="8"/>
        <v>2006</v>
      </c>
      <c r="B56" s="2">
        <f t="shared" si="31"/>
        <v>107133.46901585188</v>
      </c>
      <c r="C56" s="2"/>
      <c r="D56" s="2">
        <f t="shared" si="33"/>
        <v>124377.35399613575</v>
      </c>
      <c r="E56" s="2">
        <f t="shared" si="34"/>
        <v>59439.719165500297</v>
      </c>
      <c r="F56" s="2"/>
      <c r="G56" s="2">
        <f t="shared" si="30"/>
        <v>141216.36912851452</v>
      </c>
      <c r="H56" s="2">
        <f t="shared" si="21"/>
        <v>133309.35083726919</v>
      </c>
      <c r="I56" s="2">
        <f t="shared" si="22"/>
        <v>565476.26214327163</v>
      </c>
      <c r="J56" s="2">
        <f t="shared" si="23"/>
        <v>72585.888989797793</v>
      </c>
      <c r="K56" s="6">
        <f t="shared" si="24"/>
        <v>0.14726578757340905</v>
      </c>
      <c r="L56" s="7">
        <f t="shared" si="25"/>
        <v>1.1472657875734091</v>
      </c>
      <c r="O56">
        <f t="shared" si="26"/>
        <v>2006</v>
      </c>
      <c r="P56" s="6">
        <f t="shared" si="13"/>
        <v>0.18945705803775731</v>
      </c>
      <c r="Q56" s="7"/>
      <c r="R56" s="6">
        <f t="shared" si="13"/>
        <v>0.21995150340125671</v>
      </c>
      <c r="S56" s="6">
        <f t="shared" si="13"/>
        <v>0.10511443741283057</v>
      </c>
      <c r="T56" s="7"/>
      <c r="U56" s="6">
        <f t="shared" si="13"/>
        <v>0.24972996849288662</v>
      </c>
      <c r="V56" s="6">
        <f t="shared" si="15"/>
        <v>0.23574703265526878</v>
      </c>
      <c r="W56" s="6">
        <f t="shared" si="27"/>
        <v>1</v>
      </c>
      <c r="X56" s="7">
        <f t="shared" si="28"/>
        <v>0.76425296734473125</v>
      </c>
      <c r="Y56" s="7">
        <f t="shared" si="29"/>
        <v>0</v>
      </c>
      <c r="Z56" s="24"/>
      <c r="AA56">
        <f t="shared" si="16"/>
        <v>2006</v>
      </c>
      <c r="AB56" s="2">
        <f>B56</f>
        <v>107133.46901585188</v>
      </c>
      <c r="AC56" s="2"/>
      <c r="AD56" s="2">
        <f t="shared" si="35"/>
        <v>124377.35399613575</v>
      </c>
      <c r="AE56" s="2">
        <f t="shared" si="35"/>
        <v>59439.719165500297</v>
      </c>
      <c r="AF56" s="2"/>
      <c r="AG56" s="2">
        <f t="shared" si="36"/>
        <v>141216.36912851452</v>
      </c>
      <c r="AH56" s="2">
        <f t="shared" si="36"/>
        <v>133309.35083726919</v>
      </c>
      <c r="AI56" s="2">
        <f t="shared" si="17"/>
        <v>565476.26214327163</v>
      </c>
      <c r="AJ56" s="2">
        <f t="shared" si="7"/>
        <v>0</v>
      </c>
    </row>
    <row r="57" spans="1:36" x14ac:dyDescent="0.3">
      <c r="A57">
        <f t="shared" si="8"/>
        <v>2007</v>
      </c>
      <c r="B57" s="2">
        <f t="shared" si="31"/>
        <v>112907.9629958063</v>
      </c>
      <c r="C57" s="2"/>
      <c r="D57" s="2">
        <f t="shared" si="33"/>
        <v>131866.11448024309</v>
      </c>
      <c r="E57" s="2">
        <f t="shared" si="34"/>
        <v>60126.842319053481</v>
      </c>
      <c r="F57" s="2"/>
      <c r="G57" s="2">
        <f t="shared" si="30"/>
        <v>163135.97394464252</v>
      </c>
      <c r="H57" s="2">
        <f t="shared" si="21"/>
        <v>142534.35791520821</v>
      </c>
      <c r="I57" s="2">
        <f t="shared" si="22"/>
        <v>610571.2516549537</v>
      </c>
      <c r="J57" s="2">
        <f t="shared" si="23"/>
        <v>45094.98951168207</v>
      </c>
      <c r="K57" s="6">
        <f t="shared" si="24"/>
        <v>7.9746918713727716E-2</v>
      </c>
      <c r="L57" s="7">
        <f t="shared" si="25"/>
        <v>1.0797469187137276</v>
      </c>
      <c r="O57">
        <f t="shared" si="26"/>
        <v>2007</v>
      </c>
      <c r="P57" s="6">
        <f t="shared" si="13"/>
        <v>0.18492184604134113</v>
      </c>
      <c r="Q57" s="7"/>
      <c r="R57" s="6">
        <f t="shared" si="13"/>
        <v>0.21597170538707797</v>
      </c>
      <c r="S57" s="6">
        <f t="shared" si="13"/>
        <v>9.8476372996729941E-2</v>
      </c>
      <c r="T57" s="7"/>
      <c r="U57" s="6">
        <f t="shared" si="13"/>
        <v>0.26718580919501594</v>
      </c>
      <c r="V57" s="6">
        <f t="shared" si="15"/>
        <v>0.23344426637983487</v>
      </c>
      <c r="W57" s="6">
        <f t="shared" si="27"/>
        <v>0.99999999999999978</v>
      </c>
      <c r="X57" s="7">
        <f t="shared" si="28"/>
        <v>0.76655573362016494</v>
      </c>
      <c r="Y57" s="7">
        <f t="shared" si="29"/>
        <v>0</v>
      </c>
      <c r="Z57" s="24"/>
      <c r="AA57">
        <f t="shared" si="16"/>
        <v>2007</v>
      </c>
      <c r="AB57" s="2">
        <f>B57</f>
        <v>112907.9629958063</v>
      </c>
      <c r="AC57" s="2"/>
      <c r="AD57" s="2">
        <f t="shared" si="35"/>
        <v>131866.11448024309</v>
      </c>
      <c r="AE57" s="2">
        <f t="shared" si="35"/>
        <v>60126.842319053481</v>
      </c>
      <c r="AF57" s="2"/>
      <c r="AG57" s="2">
        <f t="shared" si="36"/>
        <v>163135.97394464252</v>
      </c>
      <c r="AH57" s="2">
        <f t="shared" si="36"/>
        <v>142534.35791520821</v>
      </c>
      <c r="AI57" s="2">
        <f t="shared" si="17"/>
        <v>610571.2516549537</v>
      </c>
      <c r="AJ57" s="2">
        <f t="shared" si="7"/>
        <v>0</v>
      </c>
    </row>
    <row r="58" spans="1:36" x14ac:dyDescent="0.3">
      <c r="A58">
        <f t="shared" si="8"/>
        <v>2008</v>
      </c>
      <c r="B58" s="2">
        <f t="shared" si="31"/>
        <v>71109.435094758795</v>
      </c>
      <c r="C58" s="2"/>
      <c r="D58" s="2">
        <f t="shared" si="33"/>
        <v>76714.430760026225</v>
      </c>
      <c r="E58" s="2">
        <f t="shared" si="34"/>
        <v>38439.090294570888</v>
      </c>
      <c r="F58" s="2"/>
      <c r="G58" s="2">
        <f t="shared" si="30"/>
        <v>91191.378075315719</v>
      </c>
      <c r="H58" s="2">
        <f t="shared" si="21"/>
        <v>149732.34298992623</v>
      </c>
      <c r="I58" s="2">
        <f t="shared" si="22"/>
        <v>427186.67721459788</v>
      </c>
      <c r="J58" s="2">
        <f t="shared" si="23"/>
        <v>-183384.57444035582</v>
      </c>
      <c r="K58" s="6">
        <f t="shared" si="24"/>
        <v>-0.30034917946642892</v>
      </c>
      <c r="L58" s="7">
        <f t="shared" si="25"/>
        <v>0.69965082053357108</v>
      </c>
      <c r="O58">
        <f t="shared" si="26"/>
        <v>2008</v>
      </c>
      <c r="P58" s="6">
        <f t="shared" si="13"/>
        <v>0.16645986143204758</v>
      </c>
      <c r="Q58" s="7"/>
      <c r="R58" s="6">
        <f t="shared" si="13"/>
        <v>0.17958057882383024</v>
      </c>
      <c r="S58" s="6">
        <f t="shared" si="13"/>
        <v>8.9981950151645188E-2</v>
      </c>
      <c r="T58" s="7"/>
      <c r="U58" s="6">
        <f t="shared" si="13"/>
        <v>0.21346962098610953</v>
      </c>
      <c r="V58" s="6">
        <f t="shared" si="15"/>
        <v>0.35050798860636739</v>
      </c>
      <c r="W58" s="6">
        <f t="shared" si="27"/>
        <v>1</v>
      </c>
      <c r="X58" s="7">
        <f t="shared" si="28"/>
        <v>0.64949201139363255</v>
      </c>
      <c r="Y58" s="7">
        <f t="shared" si="29"/>
        <v>0</v>
      </c>
      <c r="Z58" s="24"/>
      <c r="AA58">
        <f t="shared" si="16"/>
        <v>2008</v>
      </c>
      <c r="AB58" s="40">
        <v>0</v>
      </c>
      <c r="AC58" s="40"/>
      <c r="AD58" s="40">
        <v>0</v>
      </c>
      <c r="AE58" s="40">
        <v>0</v>
      </c>
      <c r="AF58" s="40"/>
      <c r="AG58" s="40">
        <v>0</v>
      </c>
      <c r="AH58" s="40">
        <f>I58</f>
        <v>427186.67721459788</v>
      </c>
      <c r="AI58" s="2">
        <f t="shared" si="17"/>
        <v>427186.67721459788</v>
      </c>
      <c r="AJ58" s="2">
        <f t="shared" si="7"/>
        <v>0</v>
      </c>
    </row>
    <row r="59" spans="1:36" x14ac:dyDescent="0.3">
      <c r="A59">
        <f t="shared" si="8"/>
        <v>2009</v>
      </c>
      <c r="B59" s="2">
        <f t="shared" si="31"/>
        <v>0</v>
      </c>
      <c r="C59" s="2"/>
      <c r="D59" s="2">
        <f t="shared" si="33"/>
        <v>0</v>
      </c>
      <c r="E59" s="2">
        <f t="shared" si="34"/>
        <v>0</v>
      </c>
      <c r="F59" s="2"/>
      <c r="G59" s="2">
        <f t="shared" si="30"/>
        <v>0</v>
      </c>
      <c r="H59" s="2">
        <f t="shared" si="21"/>
        <v>452518.84717342351</v>
      </c>
      <c r="I59" s="2">
        <f t="shared" si="22"/>
        <v>452518.84717342351</v>
      </c>
      <c r="J59" s="2">
        <f t="shared" si="23"/>
        <v>25332.169958825631</v>
      </c>
      <c r="K59" s="6">
        <f t="shared" si="24"/>
        <v>5.9299999999999943E-2</v>
      </c>
      <c r="L59" s="7">
        <f t="shared" si="25"/>
        <v>1.0592999999999999</v>
      </c>
      <c r="O59">
        <f t="shared" si="26"/>
        <v>2009</v>
      </c>
      <c r="P59" s="6">
        <f t="shared" si="13"/>
        <v>0</v>
      </c>
      <c r="Q59" s="7"/>
      <c r="R59" s="6">
        <f t="shared" si="13"/>
        <v>0</v>
      </c>
      <c r="S59" s="6">
        <f t="shared" si="13"/>
        <v>0</v>
      </c>
      <c r="T59" s="7"/>
      <c r="U59" s="6">
        <f t="shared" si="13"/>
        <v>0</v>
      </c>
      <c r="V59" s="6">
        <f t="shared" si="15"/>
        <v>1</v>
      </c>
      <c r="W59" s="6">
        <f t="shared" si="27"/>
        <v>1</v>
      </c>
      <c r="X59" s="7">
        <f t="shared" si="28"/>
        <v>0</v>
      </c>
      <c r="Y59" s="7">
        <f t="shared" si="29"/>
        <v>0</v>
      </c>
      <c r="Z59" s="24"/>
      <c r="AA59">
        <f t="shared" si="16"/>
        <v>2009</v>
      </c>
      <c r="AB59" s="40">
        <f>$I59*P$37</f>
        <v>90503.769434684713</v>
      </c>
      <c r="AC59" s="40"/>
      <c r="AD59" s="40">
        <f>$I59*R$37</f>
        <v>90503.769434684713</v>
      </c>
      <c r="AE59" s="40">
        <f>$I59*S$37</f>
        <v>45251.884717342356</v>
      </c>
      <c r="AF59" s="40"/>
      <c r="AG59" s="40">
        <f>$I59*U$37</f>
        <v>90503.769434684713</v>
      </c>
      <c r="AH59" s="40">
        <f>$I59*V$37</f>
        <v>135755.65415202704</v>
      </c>
      <c r="AI59" s="2">
        <f t="shared" si="17"/>
        <v>452518.84717342356</v>
      </c>
      <c r="AJ59" s="2">
        <f t="shared" si="7"/>
        <v>0</v>
      </c>
    </row>
    <row r="60" spans="1:36" x14ac:dyDescent="0.3">
      <c r="A60">
        <f t="shared" si="8"/>
        <v>2010</v>
      </c>
      <c r="B60" s="2">
        <f t="shared" si="31"/>
        <v>103997.8814573962</v>
      </c>
      <c r="C60" s="2"/>
      <c r="D60" s="2">
        <f t="shared" si="33"/>
        <v>113546.02913275543</v>
      </c>
      <c r="E60" s="2">
        <f t="shared" si="34"/>
        <v>57795.707160989659</v>
      </c>
      <c r="F60" s="2"/>
      <c r="G60" s="2">
        <f t="shared" si="30"/>
        <v>100567.78859582165</v>
      </c>
      <c r="H60" s="2">
        <f t="shared" si="21"/>
        <v>144471.16714858718</v>
      </c>
      <c r="I60" s="2">
        <f t="shared" si="22"/>
        <v>520378.57349555008</v>
      </c>
      <c r="J60" s="2">
        <f t="shared" si="23"/>
        <v>67859.726322126575</v>
      </c>
      <c r="K60" s="6">
        <f t="shared" si="24"/>
        <v>0.14995999999999998</v>
      </c>
      <c r="L60" s="7">
        <f t="shared" si="25"/>
        <v>1.1499600000000001</v>
      </c>
      <c r="O60">
        <f t="shared" si="26"/>
        <v>2010</v>
      </c>
      <c r="P60" s="6">
        <f t="shared" si="13"/>
        <v>0.19985042958015933</v>
      </c>
      <c r="Q60" s="7"/>
      <c r="R60" s="6">
        <f t="shared" si="13"/>
        <v>0.21819889387456956</v>
      </c>
      <c r="S60" s="6">
        <f t="shared" si="13"/>
        <v>0.11106473268635433</v>
      </c>
      <c r="T60" s="7"/>
      <c r="U60" s="6">
        <f t="shared" si="13"/>
        <v>0.19325889596159868</v>
      </c>
      <c r="V60" s="6">
        <f t="shared" si="15"/>
        <v>0.27762704789731818</v>
      </c>
      <c r="W60" s="6">
        <f t="shared" si="27"/>
        <v>1</v>
      </c>
      <c r="X60" s="7">
        <f t="shared" si="28"/>
        <v>0.72237295210268182</v>
      </c>
      <c r="Y60" s="7">
        <f t="shared" si="29"/>
        <v>0</v>
      </c>
      <c r="Z60" s="24"/>
      <c r="AA60">
        <f t="shared" si="16"/>
        <v>2010</v>
      </c>
      <c r="AB60" s="2">
        <f>B60</f>
        <v>103997.8814573962</v>
      </c>
      <c r="AC60" s="2"/>
      <c r="AD60" s="2">
        <f t="shared" ref="AD60:AE62" si="37">D60</f>
        <v>113546.02913275543</v>
      </c>
      <c r="AE60" s="2">
        <f t="shared" si="37"/>
        <v>57795.707160989659</v>
      </c>
      <c r="AF60" s="2"/>
      <c r="AG60" s="2">
        <f t="shared" ref="AG60:AH62" si="38">G60</f>
        <v>100567.78859582165</v>
      </c>
      <c r="AH60" s="2">
        <f t="shared" si="38"/>
        <v>144471.16714858718</v>
      </c>
      <c r="AI60" s="2">
        <f t="shared" si="17"/>
        <v>520378.57349555008</v>
      </c>
      <c r="AJ60" s="2">
        <f t="shared" si="7"/>
        <v>0</v>
      </c>
    </row>
    <row r="61" spans="1:36" x14ac:dyDescent="0.3">
      <c r="A61">
        <f t="shared" si="8"/>
        <v>2011</v>
      </c>
      <c r="B61" s="2">
        <f t="shared" si="31"/>
        <v>106046.63972210691</v>
      </c>
      <c r="C61" s="2"/>
      <c r="D61" s="2">
        <f t="shared" si="33"/>
        <v>111150.20791805429</v>
      </c>
      <c r="E61" s="2">
        <f t="shared" si="34"/>
        <v>56177.427360481946</v>
      </c>
      <c r="F61" s="2"/>
      <c r="G61" s="2">
        <f t="shared" si="30"/>
        <v>85925.118576270019</v>
      </c>
      <c r="H61" s="2">
        <f t="shared" si="21"/>
        <v>155393.18738502037</v>
      </c>
      <c r="I61" s="2">
        <f t="shared" si="22"/>
        <v>514692.58096193353</v>
      </c>
      <c r="J61" s="2">
        <f t="shared" si="23"/>
        <v>-5685.992533616547</v>
      </c>
      <c r="K61" s="6">
        <f t="shared" si="24"/>
        <v>-1.0926646144213641E-2</v>
      </c>
      <c r="L61" s="7">
        <f t="shared" si="25"/>
        <v>0.98907335385578632</v>
      </c>
      <c r="O61">
        <f t="shared" si="26"/>
        <v>2011</v>
      </c>
      <c r="P61" s="6">
        <f t="shared" si="13"/>
        <v>0.20603879605940945</v>
      </c>
      <c r="Q61" s="7"/>
      <c r="R61" s="6">
        <f t="shared" si="13"/>
        <v>0.21595455623300489</v>
      </c>
      <c r="S61" s="6">
        <f t="shared" si="13"/>
        <v>0.1091475366819729</v>
      </c>
      <c r="T61" s="7"/>
      <c r="U61" s="6">
        <f t="shared" si="13"/>
        <v>0.16694454467496009</v>
      </c>
      <c r="V61" s="6">
        <f t="shared" si="15"/>
        <v>0.30191456635065272</v>
      </c>
      <c r="W61" s="6">
        <f t="shared" si="27"/>
        <v>1</v>
      </c>
      <c r="X61" s="7">
        <f t="shared" si="28"/>
        <v>0.69808543364934728</v>
      </c>
      <c r="Y61" s="7">
        <f t="shared" si="29"/>
        <v>0</v>
      </c>
      <c r="Z61" s="24"/>
      <c r="AA61">
        <f t="shared" si="16"/>
        <v>2011</v>
      </c>
      <c r="AB61" s="2">
        <f>B61</f>
        <v>106046.63972210691</v>
      </c>
      <c r="AC61" s="2"/>
      <c r="AD61" s="2">
        <f t="shared" si="37"/>
        <v>111150.20791805429</v>
      </c>
      <c r="AE61" s="2">
        <f t="shared" si="37"/>
        <v>56177.427360481946</v>
      </c>
      <c r="AF61" s="2"/>
      <c r="AG61" s="2">
        <f t="shared" si="38"/>
        <v>85925.118576270019</v>
      </c>
      <c r="AH61" s="2">
        <f t="shared" si="38"/>
        <v>155393.18738502037</v>
      </c>
      <c r="AI61" s="2">
        <f t="shared" si="17"/>
        <v>514692.58096193353</v>
      </c>
      <c r="AJ61" s="2">
        <f t="shared" si="7"/>
        <v>0</v>
      </c>
    </row>
    <row r="62" spans="1:36" x14ac:dyDescent="0.3">
      <c r="A62">
        <f t="shared" si="8"/>
        <v>2012</v>
      </c>
      <c r="B62" s="2">
        <f t="shared" si="31"/>
        <v>122823.2181261442</v>
      </c>
      <c r="C62" s="2"/>
      <c r="D62" s="2">
        <f t="shared" si="33"/>
        <v>128711.94076910686</v>
      </c>
      <c r="E62" s="2">
        <f t="shared" si="34"/>
        <v>66311.835256312901</v>
      </c>
      <c r="F62" s="2"/>
      <c r="G62" s="2">
        <f t="shared" si="30"/>
        <v>101511.9350860054</v>
      </c>
      <c r="H62" s="2">
        <f t="shared" si="21"/>
        <v>161686.61147411368</v>
      </c>
      <c r="I62" s="2">
        <f t="shared" si="22"/>
        <v>581045.54071168299</v>
      </c>
      <c r="J62" s="2">
        <f t="shared" si="23"/>
        <v>66352.959749749454</v>
      </c>
      <c r="K62" s="6">
        <f t="shared" si="24"/>
        <v>0.12891765338008029</v>
      </c>
      <c r="L62" s="7">
        <f t="shared" si="25"/>
        <v>1.1289176533800802</v>
      </c>
      <c r="O62">
        <f t="shared" si="26"/>
        <v>2012</v>
      </c>
      <c r="P62" s="6">
        <f t="shared" si="13"/>
        <v>0.21138311805251347</v>
      </c>
      <c r="Q62" s="7"/>
      <c r="R62" s="6">
        <f t="shared" si="13"/>
        <v>0.2215178187435298</v>
      </c>
      <c r="S62" s="6">
        <f t="shared" si="13"/>
        <v>0.11412502224023967</v>
      </c>
      <c r="T62" s="7"/>
      <c r="U62" s="6">
        <f t="shared" si="13"/>
        <v>0.17470564348823736</v>
      </c>
      <c r="V62" s="6">
        <f t="shared" si="15"/>
        <v>0.27826839747547982</v>
      </c>
      <c r="W62" s="6">
        <f t="shared" si="27"/>
        <v>1</v>
      </c>
      <c r="X62" s="7">
        <f t="shared" si="28"/>
        <v>0.72173160252452029</v>
      </c>
      <c r="Y62" s="7">
        <f t="shared" si="29"/>
        <v>0</v>
      </c>
      <c r="Z62" s="24"/>
      <c r="AA62">
        <f t="shared" si="16"/>
        <v>2012</v>
      </c>
      <c r="AB62" s="2">
        <f>B62</f>
        <v>122823.2181261442</v>
      </c>
      <c r="AC62" s="2"/>
      <c r="AD62" s="2">
        <f t="shared" si="37"/>
        <v>128711.94076910686</v>
      </c>
      <c r="AE62" s="2">
        <f t="shared" si="37"/>
        <v>66311.835256312901</v>
      </c>
      <c r="AF62" s="2"/>
      <c r="AG62" s="2">
        <f t="shared" si="38"/>
        <v>101511.9350860054</v>
      </c>
      <c r="AH62" s="2">
        <f t="shared" si="38"/>
        <v>161686.61147411368</v>
      </c>
      <c r="AI62" s="2">
        <f t="shared" si="17"/>
        <v>581045.54071168299</v>
      </c>
      <c r="AJ62" s="2">
        <f t="shared" si="7"/>
        <v>0</v>
      </c>
    </row>
    <row r="63" spans="1:36" x14ac:dyDescent="0.3">
      <c r="A63">
        <f t="shared" si="8"/>
        <v>2013</v>
      </c>
      <c r="B63" s="2">
        <f t="shared" si="31"/>
        <v>162347.72971913742</v>
      </c>
      <c r="C63" s="2"/>
      <c r="D63" s="2">
        <f t="shared" ref="D63:E63" si="39">AD62*(1+(D29/100))</f>
        <v>173761.12003829426</v>
      </c>
      <c r="E63" s="2">
        <f t="shared" si="39"/>
        <v>91258.34767973781</v>
      </c>
      <c r="F63" s="2"/>
      <c r="G63" s="2">
        <f t="shared" ref="G63:H63" si="40">AG62*(1+(G29/100))</f>
        <v>116779.33012294059</v>
      </c>
      <c r="H63" s="2">
        <f t="shared" si="40"/>
        <v>158032.49405479874</v>
      </c>
      <c r="I63" s="2">
        <f t="shared" ref="I63:I64" si="41">SUM(B63:H63)</f>
        <v>702179.02161490882</v>
      </c>
      <c r="J63" s="2">
        <f t="shared" ref="J63:J64" si="42">I63-I62</f>
        <v>121133.48090322583</v>
      </c>
      <c r="K63" s="6">
        <f t="shared" ref="K63:K64" si="43">(J63/I62)</f>
        <v>0.20847502031399762</v>
      </c>
      <c r="L63" s="7">
        <f t="shared" ref="L63:L64" si="44">K63+1</f>
        <v>1.2084750203139976</v>
      </c>
      <c r="O63">
        <f t="shared" ref="O63:O64" si="45">A63</f>
        <v>2013</v>
      </c>
      <c r="P63" s="6">
        <f t="shared" ref="P63:P64" si="46">B63/$I63</f>
        <v>0.23120561099327838</v>
      </c>
      <c r="Q63" s="7"/>
      <c r="R63" s="6">
        <f t="shared" ref="R63:R64" si="47">D63/$I63</f>
        <v>0.24745985665972925</v>
      </c>
      <c r="S63" s="6">
        <f t="shared" ref="S63:S64" si="48">E63/$I63</f>
        <v>0.12996450316880301</v>
      </c>
      <c r="T63" s="7"/>
      <c r="U63" s="6">
        <f t="shared" ref="U63:U64" si="49">G63/$I63</f>
        <v>0.1663099103336429</v>
      </c>
      <c r="V63" s="6">
        <f t="shared" ref="V63:V64" si="50">H63/$I63</f>
        <v>0.22506011884454646</v>
      </c>
      <c r="W63" s="6">
        <f t="shared" ref="W63:W64" si="51">SUM(P63:V63)</f>
        <v>1</v>
      </c>
      <c r="X63" s="7">
        <f t="shared" ref="X63:X64" si="52">SUM(P63:U63)</f>
        <v>0.77493988115545354</v>
      </c>
      <c r="Y63" s="7">
        <f t="shared" ref="Y63:Y64" si="53">W63-(X63+V63)</f>
        <v>0</v>
      </c>
      <c r="Z63" s="24"/>
      <c r="AA63">
        <f t="shared" ref="AA63:AA64" si="54">O63</f>
        <v>2013</v>
      </c>
      <c r="AB63" s="2">
        <f t="shared" ref="AB63:AB64" si="55">B63</f>
        <v>162347.72971913742</v>
      </c>
      <c r="AC63" s="2"/>
      <c r="AD63" s="2">
        <f t="shared" ref="AD63:AD64" si="56">D63</f>
        <v>173761.12003829426</v>
      </c>
      <c r="AE63" s="2">
        <f t="shared" ref="AE63:AE64" si="57">E63</f>
        <v>91258.34767973781</v>
      </c>
      <c r="AF63" s="2"/>
      <c r="AG63" s="2">
        <f t="shared" ref="AG63:AG64" si="58">G63</f>
        <v>116779.33012294059</v>
      </c>
      <c r="AH63" s="2">
        <f t="shared" ref="AH63:AH64" si="59">H63</f>
        <v>158032.49405479874</v>
      </c>
      <c r="AI63" s="2">
        <f t="shared" ref="AI63:AI64" si="60">SUM(AB63:AH63)</f>
        <v>702179.02161490882</v>
      </c>
      <c r="AJ63" s="2">
        <f t="shared" ref="AJ63:AJ64" si="61">AI63-I63</f>
        <v>0</v>
      </c>
    </row>
    <row r="64" spans="1:36" x14ac:dyDescent="0.3">
      <c r="A64">
        <f t="shared" si="8"/>
        <v>2014</v>
      </c>
      <c r="B64" s="2">
        <f t="shared" si="31"/>
        <v>184280.9080041929</v>
      </c>
      <c r="C64" s="2"/>
      <c r="D64" s="2">
        <f t="shared" ref="D64:E64" si="62">AD63*(1+(D30/100))</f>
        <v>197392.63236350231</v>
      </c>
      <c r="E64" s="2">
        <f t="shared" si="62"/>
        <v>97984.0879037345</v>
      </c>
      <c r="F64" s="2"/>
      <c r="G64" s="2">
        <f t="shared" ref="G64:H64" si="63">AG63*(1+(G30/100))</f>
        <v>111827.88652572791</v>
      </c>
      <c r="H64" s="2">
        <f t="shared" si="63"/>
        <v>167135.16571235517</v>
      </c>
      <c r="I64" s="2">
        <f t="shared" si="41"/>
        <v>758620.68050951278</v>
      </c>
      <c r="J64" s="2">
        <f t="shared" si="42"/>
        <v>56441.658894603956</v>
      </c>
      <c r="K64" s="6">
        <f t="shared" si="43"/>
        <v>8.038072508175538E-2</v>
      </c>
      <c r="L64" s="7">
        <f t="shared" si="44"/>
        <v>1.0803807250817554</v>
      </c>
      <c r="O64">
        <f t="shared" si="45"/>
        <v>2014</v>
      </c>
      <c r="P64" s="6">
        <f t="shared" si="46"/>
        <v>0.24291574529766868</v>
      </c>
      <c r="Q64" s="7"/>
      <c r="R64" s="6">
        <f t="shared" si="47"/>
        <v>0.26019938216148736</v>
      </c>
      <c r="S64" s="6">
        <f t="shared" si="48"/>
        <v>0.12916084470294878</v>
      </c>
      <c r="T64" s="7"/>
      <c r="U64" s="6">
        <f t="shared" si="49"/>
        <v>0.14740948856103012</v>
      </c>
      <c r="V64" s="6">
        <f t="shared" si="50"/>
        <v>0.22031453927686509</v>
      </c>
      <c r="W64" s="6">
        <f t="shared" si="51"/>
        <v>1</v>
      </c>
      <c r="X64" s="7">
        <f t="shared" si="52"/>
        <v>0.77968546072313494</v>
      </c>
      <c r="Y64" s="7">
        <f t="shared" si="53"/>
        <v>0</v>
      </c>
      <c r="Z64" s="24"/>
      <c r="AA64">
        <f t="shared" si="54"/>
        <v>2014</v>
      </c>
      <c r="AB64" s="2">
        <f t="shared" si="55"/>
        <v>184280.9080041929</v>
      </c>
      <c r="AC64" s="2"/>
      <c r="AD64" s="2">
        <f t="shared" si="56"/>
        <v>197392.63236350231</v>
      </c>
      <c r="AE64" s="2">
        <f t="shared" si="57"/>
        <v>97984.0879037345</v>
      </c>
      <c r="AF64" s="2"/>
      <c r="AG64" s="2">
        <f t="shared" si="58"/>
        <v>111827.88652572791</v>
      </c>
      <c r="AH64" s="2">
        <f t="shared" si="59"/>
        <v>167135.16571235517</v>
      </c>
      <c r="AI64" s="2">
        <f t="shared" si="60"/>
        <v>758620.68050951278</v>
      </c>
      <c r="AJ64" s="2">
        <f t="shared" si="61"/>
        <v>0</v>
      </c>
    </row>
    <row r="65" spans="1:36" x14ac:dyDescent="0.3">
      <c r="A65">
        <f t="shared" si="8"/>
        <v>2015</v>
      </c>
      <c r="B65" s="2">
        <f t="shared" si="31"/>
        <v>186584.4193542453</v>
      </c>
      <c r="C65" s="2"/>
      <c r="D65" s="2">
        <f t="shared" ref="D65" si="64">AD64*(1+(D31/100))</f>
        <v>194510.69993099518</v>
      </c>
      <c r="E65" s="2">
        <f t="shared" ref="E65" si="65">AE64*(1+(E31/100))</f>
        <v>94280.289380973336</v>
      </c>
      <c r="F65" s="2"/>
      <c r="G65" s="2">
        <f t="shared" ref="G65" si="66">AG64*(1+(G31/100))</f>
        <v>106941.0078845536</v>
      </c>
      <c r="H65" s="2">
        <f t="shared" ref="H65" si="67">AH64*(1+(H31/100))</f>
        <v>167636.57120949222</v>
      </c>
      <c r="I65" s="2">
        <f t="shared" ref="I65" si="68">SUM(B65:H65)</f>
        <v>749952.98776025954</v>
      </c>
      <c r="J65" s="2">
        <f t="shared" ref="J65" si="69">I65-I64</f>
        <v>-8667.6927492532413</v>
      </c>
      <c r="K65" s="6">
        <f t="shared" ref="K65" si="70">(J65/I64)</f>
        <v>-1.1425595125394887E-2</v>
      </c>
      <c r="L65" s="7">
        <f t="shared" ref="L65" si="71">K65+1</f>
        <v>0.98857440487460513</v>
      </c>
      <c r="O65">
        <f t="shared" ref="O65" si="72">A65</f>
        <v>2015</v>
      </c>
      <c r="P65" s="6">
        <f t="shared" ref="P65" si="73">B65/$I65</f>
        <v>0.24879482100802228</v>
      </c>
      <c r="Q65" s="7"/>
      <c r="R65" s="6">
        <f t="shared" ref="R65" si="74">D65/$I65</f>
        <v>0.25936385760913216</v>
      </c>
      <c r="S65" s="6">
        <f t="shared" ref="S65" si="75">E65/$I65</f>
        <v>0.1257149326953709</v>
      </c>
      <c r="T65" s="7"/>
      <c r="U65" s="6">
        <f t="shared" ref="U65" si="76">G65/$I65</f>
        <v>0.14259694891533636</v>
      </c>
      <c r="V65" s="6">
        <f t="shared" ref="V65" si="77">H65/$I65</f>
        <v>0.22352943977213846</v>
      </c>
      <c r="W65" s="6">
        <f t="shared" ref="W65" si="78">SUM(P65:V65)</f>
        <v>1.0000000000000002</v>
      </c>
      <c r="X65" s="7">
        <f t="shared" ref="X65" si="79">SUM(P65:U65)</f>
        <v>0.77647056022786176</v>
      </c>
      <c r="Y65" s="7">
        <f t="shared" ref="Y65" si="80">W65-(X65+V65)</f>
        <v>0</v>
      </c>
      <c r="Z65" s="24"/>
      <c r="AA65">
        <f t="shared" ref="AA65" si="81">O65</f>
        <v>2015</v>
      </c>
      <c r="AB65" s="2">
        <f t="shared" ref="AB65" si="82">B65</f>
        <v>186584.4193542453</v>
      </c>
      <c r="AC65" s="2"/>
      <c r="AD65" s="2">
        <f t="shared" ref="AD65" si="83">D65</f>
        <v>194510.69993099518</v>
      </c>
      <c r="AE65" s="2">
        <f t="shared" ref="AE65" si="84">E65</f>
        <v>94280.289380973336</v>
      </c>
      <c r="AF65" s="2"/>
      <c r="AG65" s="2">
        <f t="shared" ref="AG65" si="85">G65</f>
        <v>106941.0078845536</v>
      </c>
      <c r="AH65" s="2">
        <f t="shared" ref="AH65" si="86">H65</f>
        <v>167636.57120949222</v>
      </c>
      <c r="AI65" s="2">
        <f t="shared" ref="AI65" si="87">SUM(AB65:AH65)</f>
        <v>749952.98776025954</v>
      </c>
      <c r="AJ65" s="2">
        <f t="shared" ref="AJ65" si="88">AI65-I65</f>
        <v>0</v>
      </c>
    </row>
    <row r="66" spans="1:36" x14ac:dyDescent="0.3">
      <c r="A66" s="9" t="s">
        <v>82</v>
      </c>
      <c r="B66" s="10">
        <f>AB65</f>
        <v>186584.4193542453</v>
      </c>
      <c r="C66" s="10"/>
      <c r="D66" s="10">
        <f>AD65</f>
        <v>194510.69993099518</v>
      </c>
      <c r="E66" s="10">
        <f>AE65</f>
        <v>94280.289380973336</v>
      </c>
      <c r="F66" s="10"/>
      <c r="G66" s="10">
        <f>AG65</f>
        <v>106941.0078845536</v>
      </c>
      <c r="H66" s="10">
        <f>AH65</f>
        <v>167636.57120949222</v>
      </c>
      <c r="I66" s="10">
        <f>SUM(B66:H66)</f>
        <v>749952.98776025954</v>
      </c>
      <c r="J66" s="10"/>
      <c r="K66" s="10"/>
      <c r="S66" s="7"/>
    </row>
    <row r="67" spans="1:36" x14ac:dyDescent="0.3">
      <c r="A67" s="11" t="s">
        <v>83</v>
      </c>
      <c r="I67" s="6">
        <f>(I66-I37)/I37</f>
        <v>6.4995298776025949</v>
      </c>
      <c r="K67" s="6"/>
    </row>
    <row r="68" spans="1:36" x14ac:dyDescent="0.3">
      <c r="A68" s="1" t="s">
        <v>84</v>
      </c>
      <c r="I68" s="12">
        <f>STDEV(L38:L65)</f>
        <v>0.12218529612068207</v>
      </c>
    </row>
    <row r="69" spans="1:36" x14ac:dyDescent="0.3">
      <c r="A69" s="1" t="s">
        <v>85</v>
      </c>
      <c r="I69" s="13">
        <f>((1+I67)^(1/28))-1</f>
        <v>7.4610836429991778E-2</v>
      </c>
    </row>
    <row r="70" spans="1:36" x14ac:dyDescent="0.3">
      <c r="A70" s="1" t="s">
        <v>86</v>
      </c>
      <c r="I70" s="31">
        <f>J58</f>
        <v>-183384.57444035582</v>
      </c>
    </row>
    <row r="71" spans="1:36" x14ac:dyDescent="0.3">
      <c r="A71" s="1" t="s">
        <v>87</v>
      </c>
      <c r="I71" s="32">
        <f>K58</f>
        <v>-0.30034917946642892</v>
      </c>
    </row>
    <row r="72" spans="1:36" x14ac:dyDescent="0.3">
      <c r="A72" s="3" t="s">
        <v>88</v>
      </c>
      <c r="I72" s="33">
        <f>I65-I66</f>
        <v>0</v>
      </c>
    </row>
    <row r="73" spans="1:36" x14ac:dyDescent="0.3">
      <c r="A73" s="3" t="s">
        <v>157</v>
      </c>
      <c r="I73" s="33">
        <f>((SUM(J38:J65))-(I66-I37))</f>
        <v>0</v>
      </c>
    </row>
    <row r="77" spans="1:36" x14ac:dyDescent="0.3">
      <c r="I77" s="2"/>
    </row>
  </sheetData>
  <phoneticPr fontId="12"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80"/>
  <sheetViews>
    <sheetView topLeftCell="O34" zoomScaleNormal="100" workbookViewId="0">
      <selection activeCell="R66" sqref="R34:AB66"/>
    </sheetView>
  </sheetViews>
  <sheetFormatPr defaultColWidth="8.88671875" defaultRowHeight="14.4" x14ac:dyDescent="0.3"/>
  <cols>
    <col min="1" max="1" width="25.44140625" customWidth="1"/>
    <col min="2" max="4" width="9.33203125" bestFit="1" customWidth="1"/>
    <col min="9" max="9" width="11.6640625" customWidth="1"/>
    <col min="10" max="10" width="10" bestFit="1" customWidth="1"/>
    <col min="15" max="15" width="9.88671875" bestFit="1" customWidth="1"/>
    <col min="16" max="16" width="9.88671875" customWidth="1"/>
    <col min="19" max="19" width="10.88671875" bestFit="1" customWidth="1"/>
    <col min="20" max="20" width="9.33203125" bestFit="1" customWidth="1"/>
    <col min="21" max="21" width="11.88671875" bestFit="1" customWidth="1"/>
    <col min="24" max="24" width="10.88671875" bestFit="1" customWidth="1"/>
    <col min="26" max="26" width="10.88671875" bestFit="1" customWidth="1"/>
    <col min="27" max="30" width="10.88671875" customWidth="1"/>
  </cols>
  <sheetData>
    <row r="1" spans="1:16" x14ac:dyDescent="0.3">
      <c r="A1" s="20" t="s">
        <v>53</v>
      </c>
      <c r="N1" s="74" t="s">
        <v>151</v>
      </c>
      <c r="O1" s="46"/>
    </row>
    <row r="2" spans="1:16" x14ac:dyDescent="0.3">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N2" s="46"/>
      <c r="O2" s="46"/>
      <c r="P2" s="45"/>
    </row>
    <row r="3" spans="1:16" x14ac:dyDescent="0.3">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6" t="s">
        <v>52</v>
      </c>
      <c r="O3" s="46" t="s">
        <v>45</v>
      </c>
      <c r="P3" s="45"/>
    </row>
    <row r="4" spans="1:16" x14ac:dyDescent="0.3">
      <c r="A4" s="17">
        <f>'Non-Rebalanced Portfolio'!A4</f>
        <v>1988</v>
      </c>
      <c r="B4" s="17">
        <f>'Non-Rebalanced Portfolio'!B4</f>
        <v>16.22</v>
      </c>
      <c r="C4" s="17">
        <f>'Non-Rebalanced Portfolio'!C4</f>
        <v>19.747</v>
      </c>
      <c r="D4" s="17"/>
      <c r="E4" s="17"/>
      <c r="F4" s="17">
        <f>'Non-Rebalanced Portfolio'!F4</f>
        <v>18.777999999999999</v>
      </c>
      <c r="G4" s="17"/>
      <c r="H4" s="17">
        <f>'Non-Rebalanced Portfolio'!H4</f>
        <v>7.35</v>
      </c>
      <c r="N4" s="46">
        <v>1988</v>
      </c>
      <c r="O4" s="47">
        <v>4.3999999999999997E-2</v>
      </c>
      <c r="P4" s="45"/>
    </row>
    <row r="5" spans="1:16" x14ac:dyDescent="0.3">
      <c r="A5" s="17">
        <f>'Non-Rebalanced Portfolio'!A5</f>
        <v>1989</v>
      </c>
      <c r="B5" s="17">
        <f>'Non-Rebalanced Portfolio'!B5</f>
        <v>31.36</v>
      </c>
      <c r="C5" s="17">
        <f>'Non-Rebalanced Portfolio'!C5</f>
        <v>24.096</v>
      </c>
      <c r="D5" s="17"/>
      <c r="E5" s="17"/>
      <c r="F5" s="17">
        <f>'Non-Rebalanced Portfolio'!F5</f>
        <v>25.971</v>
      </c>
      <c r="G5" s="17"/>
      <c r="H5" s="17">
        <f>'Non-Rebalanced Portfolio'!H5</f>
        <v>13.64</v>
      </c>
      <c r="N5" s="46">
        <v>1989</v>
      </c>
      <c r="O5" s="47">
        <v>4.5999999999999999E-2</v>
      </c>
      <c r="P5" s="45"/>
    </row>
    <row r="6" spans="1:16" x14ac:dyDescent="0.3">
      <c r="A6" s="17">
        <f>'Non-Rebalanced Portfolio'!A6</f>
        <v>1990</v>
      </c>
      <c r="B6" s="17">
        <f>'Non-Rebalanced Portfolio'!B6</f>
        <v>-3.32</v>
      </c>
      <c r="C6" s="17">
        <f>'Non-Rebalanced Portfolio'!C6</f>
        <v>-14.045</v>
      </c>
      <c r="D6" s="17"/>
      <c r="E6" s="17"/>
      <c r="F6" s="17">
        <f>'Non-Rebalanced Portfolio'!F6</f>
        <v>-12.26</v>
      </c>
      <c r="G6" s="17"/>
      <c r="H6" s="17">
        <f>'Non-Rebalanced Portfolio'!H6</f>
        <v>8.65</v>
      </c>
      <c r="N6" s="46">
        <v>1990</v>
      </c>
      <c r="O6" s="47">
        <v>6.3E-2</v>
      </c>
      <c r="P6" s="45"/>
    </row>
    <row r="7" spans="1:16" x14ac:dyDescent="0.3">
      <c r="A7" s="17">
        <f>'Non-Rebalanced Portfolio'!A7</f>
        <v>1991</v>
      </c>
      <c r="B7" s="17">
        <f>'Non-Rebalanced Portfolio'!B7</f>
        <v>30.22</v>
      </c>
      <c r="C7" s="17">
        <f>'Non-Rebalanced Portfolio'!C7</f>
        <v>41.85</v>
      </c>
      <c r="D7" s="17"/>
      <c r="E7" s="17"/>
      <c r="F7" s="17">
        <f>'Non-Rebalanced Portfolio'!F7</f>
        <v>9.9559999999999995</v>
      </c>
      <c r="G7" s="17"/>
      <c r="H7" s="17">
        <f>'Non-Rebalanced Portfolio'!H7</f>
        <v>15.25</v>
      </c>
      <c r="N7" s="46">
        <v>1991</v>
      </c>
      <c r="O7" s="47">
        <v>0.03</v>
      </c>
      <c r="P7" s="45"/>
    </row>
    <row r="8" spans="1:16" x14ac:dyDescent="0.3">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c r="N8" s="46">
        <v>1992</v>
      </c>
      <c r="O8" s="47">
        <v>0.03</v>
      </c>
      <c r="P8" s="45"/>
    </row>
    <row r="9" spans="1:16" x14ac:dyDescent="0.3">
      <c r="A9" s="17">
        <f>'Non-Rebalanced Portfolio'!A9</f>
        <v>1993</v>
      </c>
      <c r="B9" s="17">
        <f>'Non-Rebalanced Portfolio'!B9</f>
        <v>9.89</v>
      </c>
      <c r="C9" s="17">
        <f>'Non-Rebalanced Portfolio'!C9</f>
        <v>14.49</v>
      </c>
      <c r="D9" s="17"/>
      <c r="E9" s="17"/>
      <c r="F9" s="17">
        <f>'Non-Rebalanced Portfolio'!F9</f>
        <v>30.494</v>
      </c>
      <c r="G9" s="17"/>
      <c r="H9" s="17">
        <f>'Non-Rebalanced Portfolio'!H9</f>
        <v>9.68</v>
      </c>
      <c r="N9" s="46">
        <v>1993</v>
      </c>
      <c r="O9" s="47">
        <v>2.8000000000000001E-2</v>
      </c>
      <c r="P9" s="45"/>
    </row>
    <row r="10" spans="1:16" x14ac:dyDescent="0.3">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c r="N10" s="46">
        <v>1994</v>
      </c>
      <c r="O10" s="47">
        <v>2.5999999999999999E-2</v>
      </c>
      <c r="P10" s="45"/>
    </row>
    <row r="11" spans="1:16" x14ac:dyDescent="0.3">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c r="N11" s="46">
        <v>1995</v>
      </c>
      <c r="O11" s="47">
        <v>2.5000000000000001E-2</v>
      </c>
      <c r="P11" s="45"/>
    </row>
    <row r="12" spans="1:16" x14ac:dyDescent="0.3">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c r="N12" s="46">
        <v>1996</v>
      </c>
      <c r="O12" s="47">
        <v>3.4000000000000002E-2</v>
      </c>
      <c r="P12" s="45"/>
    </row>
    <row r="13" spans="1:16" x14ac:dyDescent="0.3">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c r="N13" s="46">
        <v>1997</v>
      </c>
      <c r="O13" s="47">
        <v>1.7000000000000001E-2</v>
      </c>
      <c r="P13" s="45"/>
    </row>
    <row r="14" spans="1:16" x14ac:dyDescent="0.3">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c r="N14" s="46">
        <v>1998</v>
      </c>
      <c r="O14" s="47">
        <v>1.6E-2</v>
      </c>
      <c r="P14" s="45"/>
    </row>
    <row r="15" spans="1:16" x14ac:dyDescent="0.3">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c r="N15" s="46">
        <v>1999</v>
      </c>
      <c r="O15" s="47">
        <v>2.7E-2</v>
      </c>
      <c r="P15" s="45"/>
    </row>
    <row r="16" spans="1:16" x14ac:dyDescent="0.3">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6">
        <v>2000</v>
      </c>
      <c r="O16" s="47">
        <v>3.4000000000000002E-2</v>
      </c>
      <c r="P16" s="45"/>
    </row>
    <row r="17" spans="1:16" x14ac:dyDescent="0.3">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6">
        <v>2001</v>
      </c>
      <c r="O17" s="47">
        <v>1.6E-2</v>
      </c>
      <c r="P17" s="45"/>
    </row>
    <row r="18" spans="1:16" x14ac:dyDescent="0.3">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6">
        <v>2002</v>
      </c>
      <c r="O18" s="47">
        <v>2.5000000000000001E-2</v>
      </c>
      <c r="P18" s="45"/>
    </row>
    <row r="19" spans="1:16" x14ac:dyDescent="0.3">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6">
        <v>2003</v>
      </c>
      <c r="O19" s="47">
        <v>0.02</v>
      </c>
      <c r="P19" s="45"/>
    </row>
    <row r="20" spans="1:16" x14ac:dyDescent="0.3">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6">
        <v>2004</v>
      </c>
      <c r="O20" s="47">
        <v>3.3000000000000002E-2</v>
      </c>
      <c r="P20" s="45"/>
    </row>
    <row r="21" spans="1:16" x14ac:dyDescent="0.3">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6">
        <v>2005</v>
      </c>
      <c r="O21" s="47">
        <v>3.3000000000000002E-2</v>
      </c>
      <c r="P21" s="45"/>
    </row>
    <row r="22" spans="1:16" x14ac:dyDescent="0.3">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6">
        <v>2006</v>
      </c>
      <c r="O22" s="47">
        <v>2.5000000000000001E-2</v>
      </c>
      <c r="P22" s="45"/>
    </row>
    <row r="23" spans="1:16" x14ac:dyDescent="0.3">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6">
        <v>2007</v>
      </c>
      <c r="O23" s="47">
        <v>4.1000000000000002E-2</v>
      </c>
      <c r="P23" s="45"/>
    </row>
    <row r="24" spans="1:16" x14ac:dyDescent="0.3">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6">
        <v>2008</v>
      </c>
      <c r="O24" s="47">
        <v>0</v>
      </c>
      <c r="P24" s="45"/>
    </row>
    <row r="25" spans="1:16" x14ac:dyDescent="0.3">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6">
        <v>2009</v>
      </c>
      <c r="O25" s="47">
        <v>2.8000000000000001E-2</v>
      </c>
      <c r="P25" s="45"/>
    </row>
    <row r="26" spans="1:16" x14ac:dyDescent="0.3">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6">
        <v>2010</v>
      </c>
      <c r="O26" s="47">
        <v>1.4E-2</v>
      </c>
      <c r="P26" s="45"/>
    </row>
    <row r="27" spans="1:16" x14ac:dyDescent="0.3">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6">
        <v>2011</v>
      </c>
      <c r="O27" s="47">
        <v>0.03</v>
      </c>
    </row>
    <row r="28" spans="1:16" x14ac:dyDescent="0.3">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c r="N28" s="46">
        <v>2012</v>
      </c>
      <c r="O28" s="47">
        <v>1.7999999999999999E-2</v>
      </c>
    </row>
    <row r="29" spans="1:16" x14ac:dyDescent="0.3">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c r="N29" s="46">
        <v>2013</v>
      </c>
      <c r="O29" s="47">
        <v>1.15559170535223E-2</v>
      </c>
    </row>
    <row r="30" spans="1:16" x14ac:dyDescent="0.3">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c r="N30" s="46">
        <v>2014</v>
      </c>
      <c r="O30" s="47">
        <v>1.29E-2</v>
      </c>
    </row>
    <row r="31" spans="1:16" x14ac:dyDescent="0.3">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c r="N31" s="46">
        <v>2015</v>
      </c>
      <c r="O31" s="47">
        <v>4.4000000000000003E-3</v>
      </c>
    </row>
    <row r="34" spans="1:42" x14ac:dyDescent="0.3">
      <c r="A34" s="20" t="s">
        <v>127</v>
      </c>
      <c r="N34" s="20" t="s">
        <v>27</v>
      </c>
      <c r="R34" s="20" t="s">
        <v>128</v>
      </c>
      <c r="AF34" s="20" t="s">
        <v>143</v>
      </c>
    </row>
    <row r="35" spans="1:42" x14ac:dyDescent="0.3">
      <c r="B35" s="4" t="str">
        <f t="shared" ref="B35:H36" si="0">B2</f>
        <v>LC Stocks</v>
      </c>
      <c r="C35" s="4" t="str">
        <f t="shared" si="0"/>
        <v>Ext Mkt</v>
      </c>
      <c r="D35" s="4" t="str">
        <f t="shared" si="0"/>
        <v>Mcap Stk</v>
      </c>
      <c r="E35" s="4" t="str">
        <f t="shared" si="0"/>
        <v>Small Cap</v>
      </c>
      <c r="F35" s="4" t="str">
        <f t="shared" si="0"/>
        <v>Intl Val</v>
      </c>
      <c r="G35" s="4" t="str">
        <f t="shared" si="0"/>
        <v>Tot Int Stk</v>
      </c>
      <c r="H35" s="4" t="str">
        <f t="shared" si="0"/>
        <v>Bonds</v>
      </c>
      <c r="I35" s="5"/>
      <c r="J35" s="5" t="s">
        <v>80</v>
      </c>
      <c r="K35" s="5" t="s">
        <v>77</v>
      </c>
      <c r="L35" s="5" t="s">
        <v>78</v>
      </c>
      <c r="S35" s="4" t="str">
        <f t="shared" ref="S35:Y35" si="1">B35</f>
        <v>LC Stocks</v>
      </c>
      <c r="T35" s="4" t="str">
        <f t="shared" si="1"/>
        <v>Ext Mkt</v>
      </c>
      <c r="U35" s="4" t="str">
        <f t="shared" si="1"/>
        <v>Mcap Stk</v>
      </c>
      <c r="V35" s="4" t="str">
        <f t="shared" si="1"/>
        <v>Small Cap</v>
      </c>
      <c r="W35" s="4" t="str">
        <f t="shared" si="1"/>
        <v>Intl Val</v>
      </c>
      <c r="X35" s="4" t="str">
        <f t="shared" si="1"/>
        <v>Tot Int Stk</v>
      </c>
      <c r="Y35" s="4" t="str">
        <f t="shared" si="1"/>
        <v>Bonds</v>
      </c>
      <c r="Z35" s="5"/>
      <c r="AA35" s="5" t="s">
        <v>80</v>
      </c>
      <c r="AB35" s="5" t="s">
        <v>77</v>
      </c>
      <c r="AC35" s="5" t="s">
        <v>78</v>
      </c>
      <c r="AD35" s="5" t="s">
        <v>92</v>
      </c>
      <c r="AG35" s="4" t="str">
        <f t="shared" ref="AG35:AM36" si="2">B35</f>
        <v>LC Stocks</v>
      </c>
      <c r="AH35" s="4" t="str">
        <f t="shared" si="2"/>
        <v>Ext Mkt</v>
      </c>
      <c r="AI35" s="4" t="str">
        <f t="shared" si="2"/>
        <v>Mcap Stk</v>
      </c>
      <c r="AJ35" s="4" t="str">
        <f t="shared" si="2"/>
        <v>Small Cap</v>
      </c>
      <c r="AK35" s="4" t="str">
        <f t="shared" si="2"/>
        <v>Intl Val</v>
      </c>
      <c r="AL35" s="4" t="str">
        <f t="shared" si="2"/>
        <v>Tot Int Stk</v>
      </c>
      <c r="AM35" s="4" t="str">
        <f t="shared" si="2"/>
        <v>Bonds</v>
      </c>
      <c r="AN35" s="5"/>
      <c r="AO35" s="5" t="s">
        <v>115</v>
      </c>
      <c r="AP35" s="5" t="s">
        <v>116</v>
      </c>
    </row>
    <row r="36" spans="1:42" x14ac:dyDescent="0.3">
      <c r="A36" t="s">
        <v>76</v>
      </c>
      <c r="B36" s="4" t="str">
        <f t="shared" si="0"/>
        <v>VFINX</v>
      </c>
      <c r="C36" s="4" t="str">
        <f t="shared" si="0"/>
        <v>VEXMX</v>
      </c>
      <c r="D36" s="4" t="str">
        <f t="shared" si="0"/>
        <v>VIMSX</v>
      </c>
      <c r="E36" s="4" t="str">
        <f t="shared" si="0"/>
        <v>NAESX</v>
      </c>
      <c r="F36" s="4" t="str">
        <f t="shared" si="0"/>
        <v>VTRIX</v>
      </c>
      <c r="G36" s="4" t="str">
        <f t="shared" si="0"/>
        <v>VGTSX</v>
      </c>
      <c r="H36" s="4" t="str">
        <f t="shared" si="0"/>
        <v>VBMFX</v>
      </c>
      <c r="I36" s="5" t="s">
        <v>74</v>
      </c>
      <c r="J36" s="5" t="s">
        <v>81</v>
      </c>
      <c r="K36" s="5" t="s">
        <v>79</v>
      </c>
      <c r="L36" s="5" t="s">
        <v>79</v>
      </c>
      <c r="R36" t="str">
        <f>A36</f>
        <v>Fund</v>
      </c>
      <c r="S36" s="4" t="str">
        <f t="shared" ref="S36" si="3">B36</f>
        <v>VFINX</v>
      </c>
      <c r="T36" s="4" t="str">
        <f t="shared" ref="T36:T37" si="4">C36</f>
        <v>VEXMX</v>
      </c>
      <c r="U36" s="4" t="str">
        <f t="shared" ref="U36:U37" si="5">D36</f>
        <v>VIMSX</v>
      </c>
      <c r="V36" s="4" t="str">
        <f t="shared" ref="V36:V37" si="6">E36</f>
        <v>NAESX</v>
      </c>
      <c r="W36" s="4" t="str">
        <f t="shared" ref="W36:W37" si="7">F36</f>
        <v>VTRIX</v>
      </c>
      <c r="X36" s="4" t="str">
        <f t="shared" ref="X36:X37" si="8">G36</f>
        <v>VGTSX</v>
      </c>
      <c r="Y36" s="4" t="str">
        <f t="shared" ref="Y36:Y37" si="9">H36</f>
        <v>VBMFX</v>
      </c>
      <c r="Z36" s="5" t="str">
        <f t="shared" ref="Z36:Z37" si="10">I36</f>
        <v>Total</v>
      </c>
      <c r="AA36" s="5" t="s">
        <v>81</v>
      </c>
      <c r="AB36" s="5" t="s">
        <v>79</v>
      </c>
      <c r="AC36" s="5" t="s">
        <v>79</v>
      </c>
      <c r="AD36" s="5" t="s">
        <v>91</v>
      </c>
      <c r="AF36" t="s">
        <v>76</v>
      </c>
      <c r="AG36" s="4" t="str">
        <f t="shared" si="2"/>
        <v>VFINX</v>
      </c>
      <c r="AH36" s="4" t="str">
        <f t="shared" si="2"/>
        <v>VEXMX</v>
      </c>
      <c r="AI36" s="4" t="str">
        <f t="shared" si="2"/>
        <v>VIMSX</v>
      </c>
      <c r="AJ36" s="4" t="str">
        <f t="shared" si="2"/>
        <v>NAESX</v>
      </c>
      <c r="AK36" s="4" t="str">
        <f t="shared" si="2"/>
        <v>VTRIX</v>
      </c>
      <c r="AL36" s="4" t="str">
        <f t="shared" si="2"/>
        <v>VGTSX</v>
      </c>
      <c r="AM36" s="4" t="str">
        <f t="shared" si="2"/>
        <v>VBMFX</v>
      </c>
      <c r="AN36" s="5" t="s">
        <v>74</v>
      </c>
      <c r="AO36" s="5" t="s">
        <v>116</v>
      </c>
      <c r="AP36" s="5" t="s">
        <v>91</v>
      </c>
    </row>
    <row r="37" spans="1:42" x14ac:dyDescent="0.3">
      <c r="A37" t="s">
        <v>75</v>
      </c>
      <c r="B37" s="2">
        <v>20000</v>
      </c>
      <c r="C37" s="2">
        <v>30000</v>
      </c>
      <c r="F37" s="2">
        <v>20000</v>
      </c>
      <c r="H37" s="2">
        <v>30000</v>
      </c>
      <c r="I37" s="2">
        <f>SUM(B37:H37)</f>
        <v>100000</v>
      </c>
      <c r="N37" s="21"/>
      <c r="R37" t="str">
        <f>A37</f>
        <v>Stating Balance</v>
      </c>
      <c r="S37" s="2">
        <f>B37</f>
        <v>20000</v>
      </c>
      <c r="T37" s="2">
        <f t="shared" si="4"/>
        <v>30000</v>
      </c>
      <c r="U37" s="2">
        <f t="shared" si="5"/>
        <v>0</v>
      </c>
      <c r="V37" s="2">
        <f t="shared" si="6"/>
        <v>0</v>
      </c>
      <c r="W37" s="2">
        <f t="shared" si="7"/>
        <v>20000</v>
      </c>
      <c r="X37" s="2">
        <f t="shared" si="8"/>
        <v>0</v>
      </c>
      <c r="Y37" s="2">
        <f t="shared" si="9"/>
        <v>30000</v>
      </c>
      <c r="Z37" s="2">
        <f t="shared" si="10"/>
        <v>100000</v>
      </c>
      <c r="AD37" s="2"/>
      <c r="AF37" s="21" t="s">
        <v>90</v>
      </c>
      <c r="AG37" s="6">
        <f t="shared" ref="AG37:AG48" si="11">S37/$Z37</f>
        <v>0.2</v>
      </c>
      <c r="AH37" s="6">
        <f t="shared" ref="AH37:AH48" si="12">T37/$Z37</f>
        <v>0.3</v>
      </c>
      <c r="AI37" s="23">
        <v>0.2</v>
      </c>
      <c r="AJ37" s="23">
        <v>0.1</v>
      </c>
      <c r="AK37" s="6">
        <f t="shared" ref="AK37:AK46" si="13">W37/$Z37</f>
        <v>0.2</v>
      </c>
      <c r="AL37" s="23">
        <v>0.2</v>
      </c>
      <c r="AM37" s="6">
        <f>Y37/$Z37</f>
        <v>0.3</v>
      </c>
      <c r="AN37" s="6">
        <f>Z37/$Z37</f>
        <v>1</v>
      </c>
      <c r="AO37" s="24"/>
    </row>
    <row r="38" spans="1:42" x14ac:dyDescent="0.3">
      <c r="A38">
        <f t="shared" ref="A38:A65" si="14">A4</f>
        <v>1988</v>
      </c>
      <c r="B38" s="2">
        <f t="shared" ref="B38:C38" si="15">B37*(1+(B4/100))</f>
        <v>23243.999999999996</v>
      </c>
      <c r="C38" s="2">
        <f t="shared" si="15"/>
        <v>35924.1</v>
      </c>
      <c r="D38" s="2"/>
      <c r="E38" s="2"/>
      <c r="F38" s="2">
        <f t="shared" ref="F38" si="16">F37*(1+(F4/100))</f>
        <v>23755.600000000002</v>
      </c>
      <c r="G38" s="2"/>
      <c r="H38" s="2">
        <f t="shared" ref="H38" si="17">H37*(1+(H4/100))</f>
        <v>32204.999999999996</v>
      </c>
      <c r="I38" s="2">
        <f>SUM(B38:H38)</f>
        <v>115128.7</v>
      </c>
      <c r="J38" s="2">
        <f>I38-I37</f>
        <v>15128.699999999997</v>
      </c>
      <c r="K38" s="6">
        <f>(J38/I37)</f>
        <v>0.15128699999999998</v>
      </c>
      <c r="L38" s="7">
        <f>K38+1</f>
        <v>1.1512869999999999</v>
      </c>
      <c r="N38">
        <f>A38</f>
        <v>1988</v>
      </c>
      <c r="O38" s="2">
        <f>I38*0.04</f>
        <v>4605.1480000000001</v>
      </c>
      <c r="P38" s="2"/>
      <c r="Q38" s="2"/>
      <c r="R38">
        <f>A38</f>
        <v>1988</v>
      </c>
      <c r="S38" s="2">
        <f>B38-($O38/4)</f>
        <v>22092.712999999996</v>
      </c>
      <c r="T38" s="2">
        <f>C38-($O38/4)</f>
        <v>34772.813000000002</v>
      </c>
      <c r="U38" s="2"/>
      <c r="V38" s="2"/>
      <c r="W38" s="2">
        <f t="shared" ref="W38:W46" si="18">F38-($O38/4)</f>
        <v>22604.313000000002</v>
      </c>
      <c r="X38" s="2"/>
      <c r="Y38" s="2">
        <f>H38-($O38/4)</f>
        <v>31053.712999999996</v>
      </c>
      <c r="Z38" s="2">
        <f>SUM(S38:Y38)</f>
        <v>110523.552</v>
      </c>
      <c r="AA38" s="2">
        <f>Z38-Z37</f>
        <v>10523.551999999996</v>
      </c>
      <c r="AB38" s="6">
        <f>(AA38/Z37)</f>
        <v>0.10523551999999996</v>
      </c>
      <c r="AC38" s="7">
        <f>AB38+1</f>
        <v>1.1052355199999999</v>
      </c>
      <c r="AD38" s="2">
        <f>Z38-(I38-O38)</f>
        <v>0</v>
      </c>
      <c r="AF38">
        <f t="shared" ref="AF38:AF62" si="19">A38</f>
        <v>1988</v>
      </c>
      <c r="AG38" s="6">
        <f t="shared" si="11"/>
        <v>0.19989144938085229</v>
      </c>
      <c r="AH38" s="6">
        <f t="shared" si="12"/>
        <v>0.31461903251173112</v>
      </c>
      <c r="AI38" s="7"/>
      <c r="AJ38" s="7"/>
      <c r="AK38" s="6">
        <f t="shared" si="13"/>
        <v>0.20452032703400633</v>
      </c>
      <c r="AL38" s="7"/>
      <c r="AM38" s="6">
        <f t="shared" ref="AM38:AM62" si="20">Y38/$Z38</f>
        <v>0.28096919107341028</v>
      </c>
      <c r="AN38" s="6">
        <f>SUM(AG38:AM38)</f>
        <v>1</v>
      </c>
      <c r="AO38" s="7">
        <f>SUM(AG38:AL38)</f>
        <v>0.71903080892658977</v>
      </c>
      <c r="AP38" s="7">
        <f>AN38-(AO38+AM38)</f>
        <v>0</v>
      </c>
    </row>
    <row r="39" spans="1:42" x14ac:dyDescent="0.3">
      <c r="A39">
        <f t="shared" si="14"/>
        <v>1989</v>
      </c>
      <c r="B39" s="2">
        <f>S38*(1+(B5/100))</f>
        <v>29020.987796799996</v>
      </c>
      <c r="C39" s="2">
        <f>T38*(1+(C5/100))</f>
        <v>43151.670020480007</v>
      </c>
      <c r="D39" s="2"/>
      <c r="E39" s="2"/>
      <c r="F39" s="2">
        <f t="shared" ref="F39:F46" si="21">W38*(1+(F5/100))</f>
        <v>28474.879129230005</v>
      </c>
      <c r="G39" s="2"/>
      <c r="H39" s="2">
        <f t="shared" ref="H39:H62" si="22">Y38*(1+(H5/100))</f>
        <v>35289.439453200001</v>
      </c>
      <c r="I39" s="2">
        <f t="shared" ref="I39:I62" si="23">SUM(B39:H39)</f>
        <v>135936.97639970999</v>
      </c>
      <c r="J39" s="2">
        <f t="shared" ref="J39:J62" si="24">I39-I38</f>
        <v>20808.276399709997</v>
      </c>
      <c r="K39" s="6">
        <f t="shared" ref="K39:K62" si="25">(J39/I38)</f>
        <v>0.18073926310042585</v>
      </c>
      <c r="L39" s="7">
        <f t="shared" ref="L39:L62" si="26">K39+1</f>
        <v>1.1807392631004259</v>
      </c>
      <c r="N39">
        <f t="shared" ref="N39:N62" si="27">A39</f>
        <v>1989</v>
      </c>
      <c r="O39" s="2">
        <f t="shared" ref="O39:O65" si="28">O38*(1+O5)</f>
        <v>4816.9848080000002</v>
      </c>
      <c r="P39" s="2"/>
      <c r="Q39" s="2"/>
      <c r="R39">
        <f t="shared" ref="R39:R46" si="29">A39</f>
        <v>1989</v>
      </c>
      <c r="S39" s="2">
        <f t="shared" ref="S39:S46" si="30">B39-($O39/4)</f>
        <v>27816.741594799998</v>
      </c>
      <c r="T39" s="2">
        <f t="shared" ref="T39:T46" si="31">C39-($O39/4)</f>
        <v>41947.423818480005</v>
      </c>
      <c r="U39" s="2"/>
      <c r="V39" s="2"/>
      <c r="W39" s="2">
        <f t="shared" si="18"/>
        <v>27270.632927230006</v>
      </c>
      <c r="X39" s="2"/>
      <c r="Y39" s="2">
        <f t="shared" ref="Y39:Y47" si="32">H39-($O39/4)</f>
        <v>34085.193251199998</v>
      </c>
      <c r="Z39" s="2">
        <f t="shared" ref="Z39:Z46" si="33">SUM(S39:Y39)</f>
        <v>131119.99159171002</v>
      </c>
      <c r="AA39" s="2">
        <f t="shared" ref="AA39:AA53" si="34">Z39-Z38</f>
        <v>20596.439591710019</v>
      </c>
      <c r="AB39" s="6">
        <f t="shared" ref="AB39:AB53" si="35">(AA39/Z38)</f>
        <v>0.18635339906294379</v>
      </c>
      <c r="AC39" s="7">
        <f t="shared" ref="AC39:AC62" si="36">AB39+1</f>
        <v>1.1863533990629438</v>
      </c>
      <c r="AD39" s="2">
        <f t="shared" ref="AD39:AD62" si="37">Z39-(I39-O39)</f>
        <v>0</v>
      </c>
      <c r="AF39">
        <f t="shared" si="19"/>
        <v>1989</v>
      </c>
      <c r="AG39" s="6">
        <f t="shared" si="11"/>
        <v>0.21214721917781679</v>
      </c>
      <c r="AH39" s="6">
        <f t="shared" si="12"/>
        <v>0.3199163095517778</v>
      </c>
      <c r="AI39" s="7"/>
      <c r="AJ39" s="7"/>
      <c r="AK39" s="6">
        <f t="shared" si="13"/>
        <v>0.20798226568033257</v>
      </c>
      <c r="AL39" s="7"/>
      <c r="AM39" s="6">
        <f t="shared" si="20"/>
        <v>0.25995420559007276</v>
      </c>
      <c r="AN39" s="6">
        <f t="shared" ref="AN39:AN62" si="38">SUM(AG39:AM39)</f>
        <v>1</v>
      </c>
      <c r="AO39" s="7">
        <f t="shared" ref="AO39:AO62" si="39">SUM(AG39:AL39)</f>
        <v>0.74004579440992724</v>
      </c>
      <c r="AP39" s="7">
        <f t="shared" ref="AP39:AP62" si="40">AN39-(AO39+AM39)</f>
        <v>0</v>
      </c>
    </row>
    <row r="40" spans="1:42" x14ac:dyDescent="0.3">
      <c r="A40">
        <f t="shared" si="14"/>
        <v>1990</v>
      </c>
      <c r="B40" s="2">
        <f t="shared" ref="B40:C40" si="41">S39*(1+(B6/100))</f>
        <v>26893.225773852639</v>
      </c>
      <c r="C40" s="2">
        <f t="shared" si="41"/>
        <v>36055.908143174493</v>
      </c>
      <c r="D40" s="2"/>
      <c r="E40" s="2"/>
      <c r="F40" s="2">
        <f t="shared" si="21"/>
        <v>23927.253330351607</v>
      </c>
      <c r="G40" s="2"/>
      <c r="H40" s="2">
        <f t="shared" si="22"/>
        <v>37033.562467428797</v>
      </c>
      <c r="I40" s="2">
        <f t="shared" ref="I40:I46" si="42">SUM(B40:H40)</f>
        <v>123909.94971480753</v>
      </c>
      <c r="J40" s="2">
        <f t="shared" si="24"/>
        <v>-12027.026684902463</v>
      </c>
      <c r="K40" s="6">
        <f t="shared" si="25"/>
        <v>-8.8475019846977573E-2</v>
      </c>
      <c r="L40" s="7">
        <f t="shared" si="26"/>
        <v>0.91152498015302241</v>
      </c>
      <c r="N40">
        <f t="shared" si="27"/>
        <v>1990</v>
      </c>
      <c r="O40" s="2">
        <f t="shared" si="28"/>
        <v>5120.4548509039996</v>
      </c>
      <c r="P40" s="2"/>
      <c r="Q40" s="2"/>
      <c r="R40">
        <f t="shared" si="29"/>
        <v>1990</v>
      </c>
      <c r="S40" s="2">
        <f t="shared" si="30"/>
        <v>25613.112061126638</v>
      </c>
      <c r="T40" s="2">
        <f t="shared" si="31"/>
        <v>34775.794430448492</v>
      </c>
      <c r="U40" s="2"/>
      <c r="V40" s="2"/>
      <c r="W40" s="2">
        <f t="shared" si="18"/>
        <v>22647.139617625606</v>
      </c>
      <c r="X40" s="2"/>
      <c r="Y40" s="2">
        <f t="shared" si="32"/>
        <v>35753.448754702797</v>
      </c>
      <c r="Z40" s="2">
        <f t="shared" si="33"/>
        <v>118789.49486390353</v>
      </c>
      <c r="AA40" s="2">
        <f t="shared" si="34"/>
        <v>-12330.496727806487</v>
      </c>
      <c r="AB40" s="6">
        <f t="shared" si="35"/>
        <v>-9.4039791935023848E-2</v>
      </c>
      <c r="AC40" s="7">
        <f t="shared" si="36"/>
        <v>0.90596020806497612</v>
      </c>
      <c r="AD40" s="2">
        <f t="shared" si="37"/>
        <v>0</v>
      </c>
      <c r="AF40">
        <f t="shared" si="19"/>
        <v>1990</v>
      </c>
      <c r="AG40" s="6">
        <f t="shared" si="11"/>
        <v>0.21561765281072573</v>
      </c>
      <c r="AH40" s="6">
        <f t="shared" si="12"/>
        <v>0.29275142949543587</v>
      </c>
      <c r="AI40" s="7"/>
      <c r="AJ40" s="7"/>
      <c r="AK40" s="6">
        <f t="shared" si="13"/>
        <v>0.19064934692728772</v>
      </c>
      <c r="AL40" s="7"/>
      <c r="AM40" s="6">
        <f t="shared" si="20"/>
        <v>0.30098157076655074</v>
      </c>
      <c r="AN40" s="6">
        <f t="shared" si="38"/>
        <v>1</v>
      </c>
      <c r="AO40" s="7">
        <f t="shared" si="39"/>
        <v>0.69901842923344937</v>
      </c>
      <c r="AP40" s="7">
        <f t="shared" si="40"/>
        <v>0</v>
      </c>
    </row>
    <row r="41" spans="1:42" x14ac:dyDescent="0.3">
      <c r="A41">
        <f t="shared" si="14"/>
        <v>1991</v>
      </c>
      <c r="B41" s="2">
        <f t="shared" ref="B41:C41" si="43">S40*(1+(B7/100))</f>
        <v>33353.394525999109</v>
      </c>
      <c r="C41" s="2">
        <f t="shared" si="43"/>
        <v>49329.46439959119</v>
      </c>
      <c r="D41" s="2"/>
      <c r="E41" s="2"/>
      <c r="F41" s="2">
        <f t="shared" si="21"/>
        <v>24901.888837956412</v>
      </c>
      <c r="G41" s="2"/>
      <c r="H41" s="2">
        <f t="shared" si="22"/>
        <v>41205.849689794974</v>
      </c>
      <c r="I41" s="2">
        <f t="shared" si="42"/>
        <v>148790.59745334167</v>
      </c>
      <c r="J41" s="2">
        <f t="shared" si="24"/>
        <v>24880.647738534142</v>
      </c>
      <c r="K41" s="6">
        <f t="shared" si="25"/>
        <v>0.20079620559769176</v>
      </c>
      <c r="L41" s="7">
        <f t="shared" si="26"/>
        <v>1.2007962055976917</v>
      </c>
      <c r="N41">
        <f t="shared" si="27"/>
        <v>1991</v>
      </c>
      <c r="O41" s="2">
        <f t="shared" si="28"/>
        <v>5274.0684964311195</v>
      </c>
      <c r="P41" s="2"/>
      <c r="Q41" s="2"/>
      <c r="R41">
        <f t="shared" si="29"/>
        <v>1991</v>
      </c>
      <c r="S41" s="2">
        <f t="shared" si="30"/>
        <v>32034.877401891328</v>
      </c>
      <c r="T41" s="2">
        <f t="shared" si="31"/>
        <v>48010.947275483413</v>
      </c>
      <c r="U41" s="2"/>
      <c r="V41" s="2"/>
      <c r="W41" s="2">
        <f t="shared" si="18"/>
        <v>23583.371713848632</v>
      </c>
      <c r="X41" s="2"/>
      <c r="Y41" s="2">
        <f t="shared" si="32"/>
        <v>39887.332565687197</v>
      </c>
      <c r="Z41" s="2">
        <f t="shared" si="33"/>
        <v>143516.52895691057</v>
      </c>
      <c r="AA41" s="2">
        <f t="shared" si="34"/>
        <v>24727.034093007038</v>
      </c>
      <c r="AB41" s="6">
        <f t="shared" si="35"/>
        <v>0.2081584244577912</v>
      </c>
      <c r="AC41" s="7">
        <f t="shared" si="36"/>
        <v>1.2081584244577912</v>
      </c>
      <c r="AD41" s="2">
        <f t="shared" si="37"/>
        <v>0</v>
      </c>
      <c r="AF41">
        <f t="shared" si="19"/>
        <v>1991</v>
      </c>
      <c r="AG41" s="6">
        <f t="shared" si="11"/>
        <v>0.22321385302949659</v>
      </c>
      <c r="AH41" s="6">
        <f t="shared" si="12"/>
        <v>0.3345325282351152</v>
      </c>
      <c r="AI41" s="7"/>
      <c r="AJ41" s="7"/>
      <c r="AK41" s="6">
        <f t="shared" si="13"/>
        <v>0.16432512606913249</v>
      </c>
      <c r="AL41" s="7"/>
      <c r="AM41" s="6">
        <f t="shared" si="20"/>
        <v>0.27792849266625574</v>
      </c>
      <c r="AN41" s="6">
        <f t="shared" si="38"/>
        <v>1</v>
      </c>
      <c r="AO41" s="7">
        <f t="shared" si="39"/>
        <v>0.72207150733374426</v>
      </c>
      <c r="AP41" s="7">
        <f t="shared" si="40"/>
        <v>0</v>
      </c>
    </row>
    <row r="42" spans="1:42" x14ac:dyDescent="0.3">
      <c r="A42">
        <f t="shared" si="14"/>
        <v>1992</v>
      </c>
      <c r="B42" s="2">
        <f t="shared" ref="B42:C42" si="44">S41*(1+(B8/100))</f>
        <v>34411.865305111663</v>
      </c>
      <c r="C42" s="2">
        <f t="shared" si="44"/>
        <v>53995.991962845175</v>
      </c>
      <c r="D42" s="2"/>
      <c r="E42" s="2"/>
      <c r="F42" s="2">
        <f t="shared" si="21"/>
        <v>21526.665866683892</v>
      </c>
      <c r="G42" s="2"/>
      <c r="H42" s="2">
        <f t="shared" si="22"/>
        <v>42735.288110877256</v>
      </c>
      <c r="I42" s="2">
        <f t="shared" si="42"/>
        <v>152669.81124551798</v>
      </c>
      <c r="J42" s="2">
        <f t="shared" si="24"/>
        <v>3879.213792176306</v>
      </c>
      <c r="K42" s="6">
        <f t="shared" si="25"/>
        <v>2.607163260697817E-2</v>
      </c>
      <c r="L42" s="7">
        <f t="shared" si="26"/>
        <v>1.0260716326069781</v>
      </c>
      <c r="N42">
        <f t="shared" si="27"/>
        <v>1992</v>
      </c>
      <c r="O42" s="2">
        <f t="shared" si="28"/>
        <v>5432.290551324053</v>
      </c>
      <c r="P42" s="2"/>
      <c r="Q42" s="2"/>
      <c r="R42">
        <f t="shared" si="29"/>
        <v>1992</v>
      </c>
      <c r="S42" s="2">
        <f t="shared" si="30"/>
        <v>33053.79266728065</v>
      </c>
      <c r="T42" s="2">
        <f t="shared" si="31"/>
        <v>52637.919325014162</v>
      </c>
      <c r="U42" s="2"/>
      <c r="V42" s="2"/>
      <c r="W42" s="2">
        <f t="shared" si="18"/>
        <v>20168.593228852878</v>
      </c>
      <c r="X42" s="2"/>
      <c r="Y42" s="2">
        <f t="shared" si="32"/>
        <v>41377.215473046243</v>
      </c>
      <c r="Z42" s="2">
        <f t="shared" si="33"/>
        <v>147237.52069419393</v>
      </c>
      <c r="AA42" s="2">
        <f t="shared" si="34"/>
        <v>3720.9917372833588</v>
      </c>
      <c r="AB42" s="6">
        <f t="shared" si="35"/>
        <v>2.5927269592762727E-2</v>
      </c>
      <c r="AC42" s="7">
        <f t="shared" si="36"/>
        <v>1.0259272695927628</v>
      </c>
      <c r="AD42" s="2">
        <f t="shared" si="37"/>
        <v>0</v>
      </c>
      <c r="AF42">
        <f t="shared" si="19"/>
        <v>1992</v>
      </c>
      <c r="AG42" s="6">
        <f t="shared" si="11"/>
        <v>0.22449299955228105</v>
      </c>
      <c r="AH42" s="6">
        <f t="shared" si="12"/>
        <v>0.35750343442919608</v>
      </c>
      <c r="AI42" s="7"/>
      <c r="AJ42" s="7"/>
      <c r="AK42" s="6">
        <f t="shared" si="13"/>
        <v>0.13697998399974548</v>
      </c>
      <c r="AL42" s="7"/>
      <c r="AM42" s="6">
        <f t="shared" si="20"/>
        <v>0.28102358201877742</v>
      </c>
      <c r="AN42" s="6">
        <f t="shared" si="38"/>
        <v>1</v>
      </c>
      <c r="AO42" s="7">
        <f t="shared" si="39"/>
        <v>0.71897641798122258</v>
      </c>
      <c r="AP42" s="7">
        <f t="shared" si="40"/>
        <v>0</v>
      </c>
    </row>
    <row r="43" spans="1:42" x14ac:dyDescent="0.3">
      <c r="A43">
        <f t="shared" si="14"/>
        <v>1993</v>
      </c>
      <c r="B43" s="2">
        <f t="shared" ref="B43:C43" si="45">S42*(1+(B9/100))</f>
        <v>36322.812762074704</v>
      </c>
      <c r="C43" s="2">
        <f t="shared" si="45"/>
        <v>60265.153835208715</v>
      </c>
      <c r="D43" s="2"/>
      <c r="E43" s="2"/>
      <c r="F43" s="2">
        <f t="shared" si="21"/>
        <v>26318.804048059275</v>
      </c>
      <c r="G43" s="2"/>
      <c r="H43" s="2">
        <f t="shared" si="22"/>
        <v>45382.529930837118</v>
      </c>
      <c r="I43" s="2">
        <f t="shared" si="42"/>
        <v>168289.30057617981</v>
      </c>
      <c r="J43" s="2">
        <f t="shared" si="24"/>
        <v>15619.489330661832</v>
      </c>
      <c r="K43" s="6">
        <f t="shared" si="25"/>
        <v>0.10230895815770115</v>
      </c>
      <c r="L43" s="7">
        <f t="shared" si="26"/>
        <v>1.1023089581577012</v>
      </c>
      <c r="N43">
        <f t="shared" si="27"/>
        <v>1993</v>
      </c>
      <c r="O43" s="2">
        <f t="shared" si="28"/>
        <v>5584.3946867611266</v>
      </c>
      <c r="P43" s="2"/>
      <c r="Q43" s="2"/>
      <c r="R43">
        <f t="shared" si="29"/>
        <v>1993</v>
      </c>
      <c r="S43" s="2">
        <f t="shared" si="30"/>
        <v>34926.714090384419</v>
      </c>
      <c r="T43" s="2">
        <f t="shared" si="31"/>
        <v>58869.055163518431</v>
      </c>
      <c r="U43" s="2"/>
      <c r="V43" s="2"/>
      <c r="W43" s="2">
        <f t="shared" si="18"/>
        <v>24922.705376368995</v>
      </c>
      <c r="X43" s="2"/>
      <c r="Y43" s="2">
        <f t="shared" si="32"/>
        <v>43986.431259146833</v>
      </c>
      <c r="Z43" s="2">
        <f t="shared" si="33"/>
        <v>162704.90588941867</v>
      </c>
      <c r="AA43" s="2">
        <f t="shared" si="34"/>
        <v>15467.38519522475</v>
      </c>
      <c r="AB43" s="6">
        <f t="shared" si="35"/>
        <v>0.10505056810451088</v>
      </c>
      <c r="AC43" s="7">
        <f t="shared" si="36"/>
        <v>1.1050505681045109</v>
      </c>
      <c r="AD43" s="2">
        <f t="shared" si="37"/>
        <v>0</v>
      </c>
      <c r="AF43">
        <f t="shared" si="19"/>
        <v>1993</v>
      </c>
      <c r="AG43" s="6">
        <f t="shared" si="11"/>
        <v>0.21466294393189431</v>
      </c>
      <c r="AH43" s="6">
        <f t="shared" si="12"/>
        <v>0.36181487486018643</v>
      </c>
      <c r="AI43" s="7"/>
      <c r="AJ43" s="7"/>
      <c r="AK43" s="6">
        <f t="shared" si="13"/>
        <v>0.15317734422407367</v>
      </c>
      <c r="AL43" s="7"/>
      <c r="AM43" s="6">
        <f t="shared" si="20"/>
        <v>0.27034483698384559</v>
      </c>
      <c r="AN43" s="6">
        <f t="shared" si="38"/>
        <v>1</v>
      </c>
      <c r="AO43" s="7">
        <f t="shared" si="39"/>
        <v>0.72965516301615441</v>
      </c>
      <c r="AP43" s="7">
        <f t="shared" si="40"/>
        <v>0</v>
      </c>
    </row>
    <row r="44" spans="1:42" x14ac:dyDescent="0.3">
      <c r="A44">
        <f t="shared" si="14"/>
        <v>1994</v>
      </c>
      <c r="B44" s="2">
        <f t="shared" ref="B44:C44" si="46">S43*(1+(B10/100))</f>
        <v>35338.849316650958</v>
      </c>
      <c r="C44" s="2">
        <f t="shared" si="46"/>
        <v>57830.605030433966</v>
      </c>
      <c r="D44" s="2"/>
      <c r="E44" s="2"/>
      <c r="F44" s="2">
        <f t="shared" si="21"/>
        <v>26232.393543897189</v>
      </c>
      <c r="G44" s="2"/>
      <c r="H44" s="2">
        <f t="shared" si="22"/>
        <v>42816.392187653531</v>
      </c>
      <c r="I44" s="2">
        <f t="shared" si="42"/>
        <v>162218.24007863563</v>
      </c>
      <c r="J44" s="2">
        <f t="shared" si="24"/>
        <v>-6071.060497544182</v>
      </c>
      <c r="K44" s="6">
        <f t="shared" si="25"/>
        <v>-3.6075142488312763E-2</v>
      </c>
      <c r="L44" s="7">
        <f t="shared" si="26"/>
        <v>0.96392485751168722</v>
      </c>
      <c r="N44">
        <f t="shared" si="27"/>
        <v>1994</v>
      </c>
      <c r="O44" s="2">
        <f t="shared" si="28"/>
        <v>5729.5889486169162</v>
      </c>
      <c r="P44" s="2"/>
      <c r="Q44" s="2"/>
      <c r="R44">
        <f t="shared" si="29"/>
        <v>1994</v>
      </c>
      <c r="S44" s="2">
        <f t="shared" si="30"/>
        <v>33906.452079496732</v>
      </c>
      <c r="T44" s="2">
        <f t="shared" si="31"/>
        <v>56398.20779327974</v>
      </c>
      <c r="U44" s="2"/>
      <c r="V44" s="2"/>
      <c r="W44" s="2">
        <f t="shared" si="18"/>
        <v>24799.99630674296</v>
      </c>
      <c r="X44" s="2"/>
      <c r="Y44" s="2">
        <f t="shared" si="32"/>
        <v>41383.994950499306</v>
      </c>
      <c r="Z44" s="2">
        <f t="shared" si="33"/>
        <v>156488.65113001876</v>
      </c>
      <c r="AA44" s="2">
        <f t="shared" si="34"/>
        <v>-6216.2547593999188</v>
      </c>
      <c r="AB44" s="6">
        <f t="shared" si="35"/>
        <v>-3.8205699609480462E-2</v>
      </c>
      <c r="AC44" s="7">
        <f t="shared" si="36"/>
        <v>0.9617943003905195</v>
      </c>
      <c r="AD44" s="2">
        <f t="shared" si="37"/>
        <v>0</v>
      </c>
      <c r="AF44">
        <f t="shared" si="19"/>
        <v>1994</v>
      </c>
      <c r="AG44" s="6">
        <f t="shared" si="11"/>
        <v>0.21667035810363988</v>
      </c>
      <c r="AH44" s="6">
        <f t="shared" si="12"/>
        <v>0.36039806967484966</v>
      </c>
      <c r="AI44" s="7"/>
      <c r="AJ44" s="7"/>
      <c r="AK44" s="6">
        <f t="shared" si="13"/>
        <v>0.15847792237750108</v>
      </c>
      <c r="AL44" s="7"/>
      <c r="AM44" s="6">
        <f t="shared" si="20"/>
        <v>0.26445364984400926</v>
      </c>
      <c r="AN44" s="6">
        <f t="shared" si="38"/>
        <v>1</v>
      </c>
      <c r="AO44" s="7">
        <f t="shared" si="39"/>
        <v>0.73554635015599068</v>
      </c>
      <c r="AP44" s="7">
        <f t="shared" si="40"/>
        <v>0</v>
      </c>
    </row>
    <row r="45" spans="1:42" x14ac:dyDescent="0.3">
      <c r="A45">
        <f t="shared" si="14"/>
        <v>1995</v>
      </c>
      <c r="B45" s="2">
        <f>S44*(1+(B11/100))</f>
        <v>46604.418383268261</v>
      </c>
      <c r="C45" s="2">
        <f>T44*(1+(C11/100))</f>
        <v>75459.110081174484</v>
      </c>
      <c r="D45" s="2"/>
      <c r="E45" s="2"/>
      <c r="F45" s="2">
        <f t="shared" si="21"/>
        <v>27192.203950491385</v>
      </c>
      <c r="G45" s="2"/>
      <c r="H45" s="2">
        <f t="shared" si="22"/>
        <v>48907.605232500078</v>
      </c>
      <c r="I45" s="2">
        <f t="shared" si="42"/>
        <v>198163.33764743421</v>
      </c>
      <c r="J45" s="2">
        <f t="shared" si="24"/>
        <v>35945.097568798577</v>
      </c>
      <c r="K45" s="6">
        <f t="shared" si="25"/>
        <v>0.22158480791909785</v>
      </c>
      <c r="L45" s="7">
        <f t="shared" si="26"/>
        <v>1.2215848079190978</v>
      </c>
      <c r="N45">
        <f t="shared" si="27"/>
        <v>1995</v>
      </c>
      <c r="O45" s="2">
        <f t="shared" si="28"/>
        <v>5872.828672332339</v>
      </c>
      <c r="P45" s="2"/>
      <c r="Q45" s="2"/>
      <c r="R45">
        <f t="shared" si="29"/>
        <v>1995</v>
      </c>
      <c r="S45" s="2">
        <f t="shared" si="30"/>
        <v>45136.211215185176</v>
      </c>
      <c r="T45" s="2">
        <f t="shared" si="31"/>
        <v>73990.902913091399</v>
      </c>
      <c r="U45" s="2"/>
      <c r="V45" s="2"/>
      <c r="W45" s="2">
        <f t="shared" si="18"/>
        <v>25723.9967824083</v>
      </c>
      <c r="X45" s="2"/>
      <c r="Y45" s="2">
        <f t="shared" si="32"/>
        <v>47439.398064416993</v>
      </c>
      <c r="Z45" s="2">
        <f t="shared" si="33"/>
        <v>192290.50897510187</v>
      </c>
      <c r="AA45" s="2">
        <f t="shared" si="34"/>
        <v>35801.857845083112</v>
      </c>
      <c r="AB45" s="6">
        <f t="shared" si="35"/>
        <v>0.22878245538289613</v>
      </c>
      <c r="AC45" s="7">
        <f t="shared" si="36"/>
        <v>1.2287824553828961</v>
      </c>
      <c r="AD45" s="2">
        <f t="shared" si="37"/>
        <v>0</v>
      </c>
      <c r="AF45">
        <f t="shared" si="19"/>
        <v>1995</v>
      </c>
      <c r="AG45" s="6">
        <f t="shared" si="11"/>
        <v>0.23472927216095463</v>
      </c>
      <c r="AH45" s="6">
        <f t="shared" si="12"/>
        <v>0.38478707715455618</v>
      </c>
      <c r="AI45" s="7"/>
      <c r="AJ45" s="7"/>
      <c r="AK45" s="6">
        <f t="shared" si="13"/>
        <v>0.13377673666534987</v>
      </c>
      <c r="AL45" s="7"/>
      <c r="AM45" s="6">
        <f t="shared" si="20"/>
        <v>0.24670691401913933</v>
      </c>
      <c r="AN45" s="6">
        <f t="shared" si="38"/>
        <v>1</v>
      </c>
      <c r="AO45" s="7">
        <f t="shared" si="39"/>
        <v>0.75329308598086064</v>
      </c>
      <c r="AP45" s="7">
        <f t="shared" si="40"/>
        <v>0</v>
      </c>
    </row>
    <row r="46" spans="1:42" x14ac:dyDescent="0.3">
      <c r="A46">
        <f t="shared" si="14"/>
        <v>1996</v>
      </c>
      <c r="B46" s="2">
        <f t="shared" ref="B46" si="47">S45*(1+(B12/100))</f>
        <v>55463.376341219548</v>
      </c>
      <c r="C46" s="2">
        <f>T45*(1+(C12/100))</f>
        <v>87048.077550164628</v>
      </c>
      <c r="D46" s="2"/>
      <c r="E46" s="2"/>
      <c r="F46" s="2">
        <f t="shared" si="21"/>
        <v>28352.732013602603</v>
      </c>
      <c r="G46" s="2"/>
      <c r="H46" s="2">
        <f t="shared" si="22"/>
        <v>49137.728515123126</v>
      </c>
      <c r="I46" s="2">
        <f t="shared" si="42"/>
        <v>220001.91442010991</v>
      </c>
      <c r="J46" s="2">
        <f t="shared" si="24"/>
        <v>21838.576772675704</v>
      </c>
      <c r="K46" s="6">
        <f t="shared" si="25"/>
        <v>0.11020493009423465</v>
      </c>
      <c r="L46" s="7">
        <f t="shared" si="26"/>
        <v>1.1102049300942347</v>
      </c>
      <c r="N46">
        <f t="shared" si="27"/>
        <v>1996</v>
      </c>
      <c r="O46" s="2">
        <f t="shared" si="28"/>
        <v>6072.5048471916389</v>
      </c>
      <c r="P46" s="2"/>
      <c r="Q46" s="2"/>
      <c r="R46">
        <f t="shared" si="29"/>
        <v>1996</v>
      </c>
      <c r="S46" s="2">
        <f t="shared" si="30"/>
        <v>53945.250129421634</v>
      </c>
      <c r="T46" s="2">
        <f t="shared" si="31"/>
        <v>85529.951338366722</v>
      </c>
      <c r="U46" s="2"/>
      <c r="V46" s="2"/>
      <c r="W46" s="2">
        <f t="shared" si="18"/>
        <v>26834.605801804693</v>
      </c>
      <c r="X46" s="2"/>
      <c r="Y46" s="2">
        <f t="shared" si="32"/>
        <v>47619.602303325213</v>
      </c>
      <c r="Z46" s="2">
        <f t="shared" si="33"/>
        <v>213929.40957291826</v>
      </c>
      <c r="AA46" s="2">
        <f t="shared" si="34"/>
        <v>21638.900597816391</v>
      </c>
      <c r="AB46" s="6">
        <f t="shared" si="35"/>
        <v>0.11253233824774075</v>
      </c>
      <c r="AC46" s="7">
        <f t="shared" si="36"/>
        <v>1.1125323382477408</v>
      </c>
      <c r="AD46" s="2">
        <f t="shared" si="37"/>
        <v>0</v>
      </c>
      <c r="AF46">
        <f t="shared" si="19"/>
        <v>1996</v>
      </c>
      <c r="AG46" s="6">
        <f t="shared" si="11"/>
        <v>0.25216378728439526</v>
      </c>
      <c r="AH46" s="6">
        <f t="shared" si="12"/>
        <v>0.39980455005749765</v>
      </c>
      <c r="AI46" s="7"/>
      <c r="AJ46" s="7"/>
      <c r="AK46" s="6">
        <f t="shared" si="13"/>
        <v>0.12543673100101771</v>
      </c>
      <c r="AL46" s="6"/>
      <c r="AM46" s="6">
        <f t="shared" si="20"/>
        <v>0.22259493165708932</v>
      </c>
      <c r="AN46" s="6">
        <f t="shared" si="38"/>
        <v>1</v>
      </c>
      <c r="AO46" s="7">
        <f t="shared" si="39"/>
        <v>0.77740506834291068</v>
      </c>
      <c r="AP46" s="7">
        <f t="shared" si="40"/>
        <v>0</v>
      </c>
    </row>
    <row r="47" spans="1:42" x14ac:dyDescent="0.3">
      <c r="A47">
        <f t="shared" si="14"/>
        <v>1997</v>
      </c>
      <c r="B47" s="2">
        <f t="shared" ref="B47:B65" si="48">S46*(1+(B13/100))</f>
        <v>71849.678647376684</v>
      </c>
      <c r="C47" s="2">
        <f>T46*(1+(C13/100))</f>
        <v>108355.32945203665</v>
      </c>
      <c r="D47" s="2"/>
      <c r="E47" s="2"/>
      <c r="F47" s="2"/>
      <c r="G47" s="2">
        <f>W46*(1+(G13/100))</f>
        <v>26626.637606840704</v>
      </c>
      <c r="H47" s="2">
        <f t="shared" si="22"/>
        <v>52114.892760759118</v>
      </c>
      <c r="I47" s="2">
        <f t="shared" si="23"/>
        <v>258946.53846701316</v>
      </c>
      <c r="J47" s="2">
        <f>I47-I46</f>
        <v>38944.624046903249</v>
      </c>
      <c r="K47" s="6">
        <f>(J47/I46)</f>
        <v>0.17701947798752157</v>
      </c>
      <c r="L47" s="7">
        <f t="shared" si="26"/>
        <v>1.1770194779875216</v>
      </c>
      <c r="N47">
        <f t="shared" si="27"/>
        <v>1997</v>
      </c>
      <c r="O47" s="2">
        <f t="shared" si="28"/>
        <v>6175.7374295938962</v>
      </c>
      <c r="P47" s="2"/>
      <c r="Q47" s="2"/>
      <c r="R47">
        <f t="shared" ref="R47" si="49">A47</f>
        <v>1997</v>
      </c>
      <c r="S47" s="2">
        <f t="shared" ref="S47" si="50">B47-($O47/4)</f>
        <v>70305.744289978204</v>
      </c>
      <c r="T47" s="2">
        <f t="shared" ref="T47" si="51">C47-($O47/4)</f>
        <v>106811.39509463817</v>
      </c>
      <c r="U47" s="2"/>
      <c r="V47" s="2"/>
      <c r="W47" s="2"/>
      <c r="X47" s="2">
        <f>G47-(O47/4)</f>
        <v>25082.703249442231</v>
      </c>
      <c r="Y47" s="2">
        <f t="shared" si="32"/>
        <v>50570.958403360644</v>
      </c>
      <c r="Z47" s="2">
        <f t="shared" ref="Z47" si="52">SUM(S47:Y47)</f>
        <v>252770.80103741927</v>
      </c>
      <c r="AA47" s="2">
        <f>Z47-Z46</f>
        <v>38841.391464501008</v>
      </c>
      <c r="AB47" s="6">
        <f>(AA47/Z46)</f>
        <v>0.18156171955058775</v>
      </c>
      <c r="AC47" s="7">
        <f t="shared" si="36"/>
        <v>1.1815617195505879</v>
      </c>
      <c r="AD47" s="2">
        <f t="shared" si="37"/>
        <v>0</v>
      </c>
      <c r="AF47">
        <f t="shared" si="19"/>
        <v>1997</v>
      </c>
      <c r="AG47" s="6">
        <f t="shared" si="11"/>
        <v>0.27814029152667202</v>
      </c>
      <c r="AH47" s="6">
        <f t="shared" si="12"/>
        <v>0.42256223684169197</v>
      </c>
      <c r="AI47" s="7"/>
      <c r="AJ47" s="7"/>
      <c r="AK47" s="6"/>
      <c r="AL47" s="6">
        <f t="shared" ref="AL47:AL53" si="53">X47/$Z47</f>
        <v>9.9231015396153602E-2</v>
      </c>
      <c r="AM47" s="6">
        <f t="shared" si="20"/>
        <v>0.2000664562354823</v>
      </c>
      <c r="AN47" s="6">
        <f t="shared" si="38"/>
        <v>1</v>
      </c>
      <c r="AO47" s="7">
        <f t="shared" si="39"/>
        <v>0.79993354376451764</v>
      </c>
      <c r="AP47" s="7">
        <f t="shared" si="40"/>
        <v>0</v>
      </c>
    </row>
    <row r="48" spans="1:42" x14ac:dyDescent="0.3">
      <c r="A48">
        <f t="shared" si="14"/>
        <v>1998</v>
      </c>
      <c r="B48" s="2">
        <f t="shared" si="48"/>
        <v>90455.37060348595</v>
      </c>
      <c r="C48" s="2">
        <f>T47*(1+(C14/100))</f>
        <v>115733.3509268933</v>
      </c>
      <c r="D48" s="2"/>
      <c r="E48" s="2"/>
      <c r="F48" s="2"/>
      <c r="G48" s="2">
        <f t="shared" ref="G48:G62" si="54">X47*(1+(G14/100))</f>
        <v>28996.357437452698</v>
      </c>
      <c r="H48" s="2">
        <f t="shared" si="22"/>
        <v>54909.946634368993</v>
      </c>
      <c r="I48" s="2">
        <f t="shared" si="23"/>
        <v>290095.02560220094</v>
      </c>
      <c r="J48" s="2">
        <f>I48-I47</f>
        <v>31148.487135187781</v>
      </c>
      <c r="K48" s="6">
        <f>(J48/I47)</f>
        <v>0.12028925862299465</v>
      </c>
      <c r="L48" s="7">
        <f t="shared" si="26"/>
        <v>1.1202892586229947</v>
      </c>
      <c r="N48">
        <f t="shared" si="27"/>
        <v>1998</v>
      </c>
      <c r="O48" s="2">
        <f t="shared" si="28"/>
        <v>6274.5492284673983</v>
      </c>
      <c r="P48" s="2"/>
      <c r="Q48" s="2"/>
      <c r="R48">
        <f t="shared" ref="R48:R50" si="55">A48</f>
        <v>1998</v>
      </c>
      <c r="S48" s="2">
        <f>B48-($O48/4)</f>
        <v>88886.733296369101</v>
      </c>
      <c r="T48" s="2">
        <f>C48-($O48/4)</f>
        <v>114164.71361977645</v>
      </c>
      <c r="U48" s="2"/>
      <c r="V48" s="2"/>
      <c r="W48" s="2"/>
      <c r="X48" s="2">
        <f>G48-($O48/4)</f>
        <v>27427.720130335849</v>
      </c>
      <c r="Y48" s="2">
        <f>H48-($O48/4)</f>
        <v>53341.309327252144</v>
      </c>
      <c r="Z48" s="2">
        <f t="shared" ref="Z48:Z50" si="56">SUM(S48:Y48)</f>
        <v>283820.47637373355</v>
      </c>
      <c r="AA48" s="2">
        <f>Z48-Z47</f>
        <v>31049.675336314278</v>
      </c>
      <c r="AB48" s="6">
        <f>(AA48/Z47)</f>
        <v>0.12283727079583767</v>
      </c>
      <c r="AC48" s="7">
        <f t="shared" si="36"/>
        <v>1.1228372707958376</v>
      </c>
      <c r="AD48" s="2">
        <f t="shared" si="37"/>
        <v>0</v>
      </c>
      <c r="AF48">
        <f t="shared" si="19"/>
        <v>1998</v>
      </c>
      <c r="AG48" s="6">
        <f t="shared" si="11"/>
        <v>0.31317942395151027</v>
      </c>
      <c r="AH48" s="6">
        <f t="shared" si="12"/>
        <v>0.40224269608174734</v>
      </c>
      <c r="AI48" s="7"/>
      <c r="AJ48" s="7"/>
      <c r="AK48" s="7"/>
      <c r="AL48" s="6">
        <f t="shared" si="53"/>
        <v>9.6637566396792135E-2</v>
      </c>
      <c r="AM48" s="6">
        <f t="shared" si="20"/>
        <v>0.18794031356995028</v>
      </c>
      <c r="AN48" s="6">
        <f t="shared" si="38"/>
        <v>1</v>
      </c>
      <c r="AO48" s="7">
        <f t="shared" si="39"/>
        <v>0.81205968643004967</v>
      </c>
      <c r="AP48" s="7">
        <f t="shared" si="40"/>
        <v>0</v>
      </c>
    </row>
    <row r="49" spans="1:42" x14ac:dyDescent="0.3">
      <c r="A49">
        <f t="shared" si="14"/>
        <v>1999</v>
      </c>
      <c r="B49" s="2">
        <f t="shared" si="48"/>
        <v>107615.16800191408</v>
      </c>
      <c r="C49" s="2"/>
      <c r="D49" s="2">
        <f>($T48*0.67)*(1+(D15/100))</f>
        <v>88207.916086457291</v>
      </c>
      <c r="E49" s="2">
        <f>($T48*0.33)*(1+(E15/100))</f>
        <v>46389.564151074985</v>
      </c>
      <c r="F49" s="2"/>
      <c r="G49" s="2">
        <f t="shared" si="54"/>
        <v>35633.819716131031</v>
      </c>
      <c r="H49" s="2">
        <f t="shared" si="22"/>
        <v>52935.915376365025</v>
      </c>
      <c r="I49" s="2">
        <f t="shared" si="23"/>
        <v>330782.38333194237</v>
      </c>
      <c r="J49" s="2">
        <f t="shared" si="24"/>
        <v>40687.35772974143</v>
      </c>
      <c r="K49" s="6">
        <f t="shared" si="25"/>
        <v>0.14025527547492264</v>
      </c>
      <c r="L49" s="7">
        <f t="shared" si="26"/>
        <v>1.1402552754749227</v>
      </c>
      <c r="N49">
        <f t="shared" si="27"/>
        <v>1999</v>
      </c>
      <c r="O49" s="2">
        <f t="shared" si="28"/>
        <v>6443.9620576360176</v>
      </c>
      <c r="P49" s="2"/>
      <c r="Q49" s="2"/>
      <c r="R49">
        <f t="shared" si="55"/>
        <v>1999</v>
      </c>
      <c r="S49" s="2">
        <f>B49-($O49/5)</f>
        <v>106326.37559038687</v>
      </c>
      <c r="T49" s="2"/>
      <c r="U49" s="2">
        <f>D49-($O49/5)</f>
        <v>86919.123674930088</v>
      </c>
      <c r="V49" s="2">
        <f>E49-($O49/5)</f>
        <v>45100.771739547781</v>
      </c>
      <c r="W49" s="2"/>
      <c r="X49" s="2">
        <f>G49-($O49/5)</f>
        <v>34345.027304603827</v>
      </c>
      <c r="Y49" s="2">
        <f>H49-($O49/5)</f>
        <v>51647.122964837821</v>
      </c>
      <c r="Z49" s="2">
        <f t="shared" si="56"/>
        <v>324338.42127430637</v>
      </c>
      <c r="AA49" s="2">
        <f t="shared" si="34"/>
        <v>40517.944900572824</v>
      </c>
      <c r="AB49" s="6">
        <f t="shared" si="35"/>
        <v>0.14275906170779226</v>
      </c>
      <c r="AC49" s="7">
        <f t="shared" si="36"/>
        <v>1.1427590617077923</v>
      </c>
      <c r="AD49" s="2">
        <f t="shared" si="37"/>
        <v>0</v>
      </c>
      <c r="AF49">
        <f t="shared" si="19"/>
        <v>1999</v>
      </c>
      <c r="AG49" s="6">
        <f t="shared" ref="AG49:AG62" si="57">S49/$Z49</f>
        <v>0.32782540894364864</v>
      </c>
      <c r="AH49" s="7"/>
      <c r="AI49" s="6">
        <f>U49/$Z49</f>
        <v>0.26798898303022511</v>
      </c>
      <c r="AJ49" s="6">
        <f>V49/$Z49</f>
        <v>0.13905466876958189</v>
      </c>
      <c r="AK49" s="7"/>
      <c r="AL49" s="6">
        <f t="shared" si="53"/>
        <v>0.10589256483910928</v>
      </c>
      <c r="AM49" s="6">
        <f t="shared" si="20"/>
        <v>0.15923837441743519</v>
      </c>
      <c r="AN49" s="6">
        <f t="shared" si="38"/>
        <v>1</v>
      </c>
      <c r="AO49" s="7">
        <f t="shared" si="39"/>
        <v>0.84076162558256484</v>
      </c>
      <c r="AP49" s="7">
        <f t="shared" si="40"/>
        <v>0</v>
      </c>
    </row>
    <row r="50" spans="1:42" x14ac:dyDescent="0.3">
      <c r="A50">
        <f t="shared" si="14"/>
        <v>2000</v>
      </c>
      <c r="B50" s="2">
        <f t="shared" si="48"/>
        <v>96693.205961897824</v>
      </c>
      <c r="C50" s="2"/>
      <c r="D50" s="2">
        <f t="shared" ref="D50:D62" si="58">U49*(1+(D16/100))</f>
        <v>102649.74667761892</v>
      </c>
      <c r="E50" s="2">
        <f t="shared" ref="E50:E62" si="59">V49*(1+(E16/100))</f>
        <v>43898.836172688832</v>
      </c>
      <c r="F50" s="2"/>
      <c r="G50" s="2">
        <f t="shared" si="54"/>
        <v>28982.394741262986</v>
      </c>
      <c r="H50" s="2">
        <f t="shared" si="22"/>
        <v>57529.730270532855</v>
      </c>
      <c r="I50" s="2">
        <f t="shared" si="23"/>
        <v>329753.91382400139</v>
      </c>
      <c r="J50" s="2">
        <f t="shared" si="24"/>
        <v>-1028.4695079409867</v>
      </c>
      <c r="K50" s="6">
        <f t="shared" si="25"/>
        <v>-3.1092027863796803E-3</v>
      </c>
      <c r="L50" s="7">
        <f t="shared" si="26"/>
        <v>0.99689079721362028</v>
      </c>
      <c r="N50">
        <f t="shared" si="27"/>
        <v>2000</v>
      </c>
      <c r="O50" s="2">
        <f t="shared" si="28"/>
        <v>6663.0567675956427</v>
      </c>
      <c r="P50" s="2"/>
      <c r="Q50" s="2"/>
      <c r="R50">
        <f t="shared" si="55"/>
        <v>2000</v>
      </c>
      <c r="S50" s="2">
        <f t="shared" ref="S50:S62" si="60">B50-($O50/5)</f>
        <v>95360.594608378698</v>
      </c>
      <c r="T50" s="2"/>
      <c r="U50" s="2">
        <f t="shared" ref="U50:U62" si="61">D50-($O50/5)</f>
        <v>101317.1353240998</v>
      </c>
      <c r="V50" s="2">
        <f t="shared" ref="V50:V62" si="62">E50-($O50/5)</f>
        <v>42566.224819169707</v>
      </c>
      <c r="W50" s="2"/>
      <c r="X50" s="2">
        <f t="shared" ref="X50:X62" si="63">G50-($O50/5)</f>
        <v>27649.783387743857</v>
      </c>
      <c r="Y50" s="2">
        <f t="shared" ref="Y50:Y62" si="64">H50-($O50/5)</f>
        <v>56197.11891701373</v>
      </c>
      <c r="Z50" s="2">
        <f t="shared" si="56"/>
        <v>323090.8570564058</v>
      </c>
      <c r="AA50" s="2">
        <f t="shared" si="34"/>
        <v>-1247.5642179005663</v>
      </c>
      <c r="AB50" s="6">
        <f t="shared" si="35"/>
        <v>-3.8464891485842493E-3</v>
      </c>
      <c r="AC50" s="7">
        <f t="shared" si="36"/>
        <v>0.99615351085141579</v>
      </c>
      <c r="AD50" s="2">
        <f t="shared" si="37"/>
        <v>0</v>
      </c>
      <c r="AF50">
        <f t="shared" si="19"/>
        <v>2000</v>
      </c>
      <c r="AG50" s="6">
        <f t="shared" si="57"/>
        <v>0.29515101565294516</v>
      </c>
      <c r="AH50" s="7"/>
      <c r="AI50" s="6">
        <f t="shared" ref="AI50:AI62" si="65">U50/$Z50</f>
        <v>0.31358713226110163</v>
      </c>
      <c r="AJ50" s="6">
        <f t="shared" ref="AJ50:AJ62" si="66">V50/$Z50</f>
        <v>0.13174691852000756</v>
      </c>
      <c r="AK50" s="7"/>
      <c r="AL50" s="6">
        <f t="shared" si="53"/>
        <v>8.5578971932705319E-2</v>
      </c>
      <c r="AM50" s="6">
        <f t="shared" si="20"/>
        <v>0.17393596163324032</v>
      </c>
      <c r="AN50" s="6">
        <f t="shared" si="38"/>
        <v>1</v>
      </c>
      <c r="AO50" s="7">
        <f t="shared" si="39"/>
        <v>0.82606403836675968</v>
      </c>
      <c r="AP50" s="7">
        <f t="shared" si="40"/>
        <v>0</v>
      </c>
    </row>
    <row r="51" spans="1:42" x14ac:dyDescent="0.3">
      <c r="A51">
        <f t="shared" si="14"/>
        <v>2001</v>
      </c>
      <c r="B51" s="2">
        <f t="shared" si="48"/>
        <v>83898.251136451581</v>
      </c>
      <c r="C51" s="2"/>
      <c r="D51" s="2">
        <f t="shared" si="58"/>
        <v>100811.56281883254</v>
      </c>
      <c r="E51" s="2">
        <f t="shared" si="59"/>
        <v>43885.777788563966</v>
      </c>
      <c r="F51" s="2"/>
      <c r="G51" s="2">
        <f t="shared" si="54"/>
        <v>22077.522541611837</v>
      </c>
      <c r="H51" s="2">
        <f t="shared" si="22"/>
        <v>60934.536041717991</v>
      </c>
      <c r="I51" s="2">
        <f t="shared" si="23"/>
        <v>311607.65032717795</v>
      </c>
      <c r="J51" s="2">
        <f t="shared" si="24"/>
        <v>-18146.263496823434</v>
      </c>
      <c r="K51" s="6">
        <f t="shared" si="25"/>
        <v>-5.5029713783802392E-2</v>
      </c>
      <c r="L51" s="7">
        <f t="shared" si="26"/>
        <v>0.94497028621619761</v>
      </c>
      <c r="N51">
        <f t="shared" si="27"/>
        <v>2001</v>
      </c>
      <c r="O51" s="2">
        <f t="shared" si="28"/>
        <v>6769.6656758771733</v>
      </c>
      <c r="P51" s="2"/>
      <c r="Q51" s="2"/>
      <c r="R51">
        <f t="shared" ref="R51:R62" si="67">A51</f>
        <v>2001</v>
      </c>
      <c r="S51" s="2">
        <f t="shared" si="60"/>
        <v>82544.318001276144</v>
      </c>
      <c r="T51" s="2"/>
      <c r="U51" s="2">
        <f t="shared" si="61"/>
        <v>99457.629683657098</v>
      </c>
      <c r="V51" s="2">
        <f t="shared" si="62"/>
        <v>42531.844653388529</v>
      </c>
      <c r="W51" s="2"/>
      <c r="X51" s="2">
        <f t="shared" si="63"/>
        <v>20723.589406436404</v>
      </c>
      <c r="Y51" s="2">
        <f t="shared" si="64"/>
        <v>59580.602906542554</v>
      </c>
      <c r="Z51" s="2">
        <f t="shared" ref="Z51:Z62" si="68">SUM(S51:Y51)</f>
        <v>304837.98465130077</v>
      </c>
      <c r="AA51" s="2">
        <f t="shared" si="34"/>
        <v>-18252.872405105038</v>
      </c>
      <c r="AB51" s="6">
        <f t="shared" si="35"/>
        <v>-5.6494549463275021E-2</v>
      </c>
      <c r="AC51" s="7">
        <f t="shared" si="36"/>
        <v>0.94350545053672497</v>
      </c>
      <c r="AD51" s="2">
        <f t="shared" si="37"/>
        <v>0</v>
      </c>
      <c r="AF51">
        <f t="shared" si="19"/>
        <v>2001</v>
      </c>
      <c r="AG51" s="6">
        <f t="shared" si="57"/>
        <v>0.27078094646143674</v>
      </c>
      <c r="AH51" s="7"/>
      <c r="AI51" s="6">
        <f t="shared" si="65"/>
        <v>0.32626389981361764</v>
      </c>
      <c r="AJ51" s="6">
        <f t="shared" si="66"/>
        <v>0.13952278520027619</v>
      </c>
      <c r="AK51" s="7"/>
      <c r="AL51" s="6">
        <f t="shared" si="53"/>
        <v>6.7982306831419911E-2</v>
      </c>
      <c r="AM51" s="6">
        <f t="shared" si="20"/>
        <v>0.19545006169324941</v>
      </c>
      <c r="AN51" s="6">
        <f t="shared" si="38"/>
        <v>0.99999999999999989</v>
      </c>
      <c r="AO51" s="7">
        <f t="shared" si="39"/>
        <v>0.80454993830675048</v>
      </c>
      <c r="AP51" s="7">
        <f t="shared" si="40"/>
        <v>0</v>
      </c>
    </row>
    <row r="52" spans="1:42" x14ac:dyDescent="0.3">
      <c r="A52">
        <f t="shared" si="14"/>
        <v>2002</v>
      </c>
      <c r="B52" s="2">
        <f t="shared" si="48"/>
        <v>64260.751563993479</v>
      </c>
      <c r="C52" s="2"/>
      <c r="D52" s="2">
        <f t="shared" si="58"/>
        <v>84928.859139468477</v>
      </c>
      <c r="E52" s="2">
        <f t="shared" si="59"/>
        <v>34016.118716887082</v>
      </c>
      <c r="F52" s="2"/>
      <c r="G52" s="2">
        <f t="shared" si="54"/>
        <v>17597.850416263602</v>
      </c>
      <c r="H52" s="2">
        <f t="shared" si="22"/>
        <v>64501.960706622966</v>
      </c>
      <c r="I52" s="2">
        <f t="shared" si="23"/>
        <v>265305.54054323561</v>
      </c>
      <c r="J52" s="2">
        <f t="shared" si="24"/>
        <v>-46302.109783942346</v>
      </c>
      <c r="K52" s="6">
        <f t="shared" si="25"/>
        <v>-0.14859105588494578</v>
      </c>
      <c r="L52" s="7">
        <f t="shared" si="26"/>
        <v>0.85140894411505419</v>
      </c>
      <c r="N52">
        <f t="shared" si="27"/>
        <v>2002</v>
      </c>
      <c r="O52" s="2">
        <f t="shared" si="28"/>
        <v>6938.907317774102</v>
      </c>
      <c r="P52" s="2"/>
      <c r="Q52" s="2"/>
      <c r="R52">
        <f t="shared" si="67"/>
        <v>2002</v>
      </c>
      <c r="S52" s="2">
        <f t="shared" si="60"/>
        <v>62872.970100438659</v>
      </c>
      <c r="T52" s="2"/>
      <c r="U52" s="2">
        <f t="shared" si="61"/>
        <v>83541.07767591365</v>
      </c>
      <c r="V52" s="2">
        <f t="shared" si="62"/>
        <v>32628.337253332262</v>
      </c>
      <c r="W52" s="2"/>
      <c r="X52" s="2">
        <f t="shared" si="63"/>
        <v>16210.068952708782</v>
      </c>
      <c r="Y52" s="2">
        <f t="shared" si="64"/>
        <v>63114.179243068145</v>
      </c>
      <c r="Z52" s="2">
        <f t="shared" si="68"/>
        <v>258366.63322546153</v>
      </c>
      <c r="AA52" s="2">
        <f t="shared" si="34"/>
        <v>-46471.351425839239</v>
      </c>
      <c r="AB52" s="6">
        <f t="shared" si="35"/>
        <v>-0.15244606566664279</v>
      </c>
      <c r="AC52" s="7">
        <f t="shared" si="36"/>
        <v>0.84755393433335724</v>
      </c>
      <c r="AD52" s="2">
        <f t="shared" si="37"/>
        <v>0</v>
      </c>
      <c r="AF52">
        <f t="shared" si="19"/>
        <v>2002</v>
      </c>
      <c r="AG52" s="6">
        <f t="shared" si="57"/>
        <v>0.24334787087453771</v>
      </c>
      <c r="AH52" s="7"/>
      <c r="AI52" s="6">
        <f t="shared" si="65"/>
        <v>0.32334313697160816</v>
      </c>
      <c r="AJ52" s="6">
        <f t="shared" si="66"/>
        <v>0.12628696223656485</v>
      </c>
      <c r="AK52" s="7"/>
      <c r="AL52" s="6">
        <f t="shared" si="53"/>
        <v>6.2740566575263598E-2</v>
      </c>
      <c r="AM52" s="6">
        <f t="shared" si="20"/>
        <v>0.24428146334202558</v>
      </c>
      <c r="AN52" s="6">
        <f t="shared" si="38"/>
        <v>1</v>
      </c>
      <c r="AO52" s="7">
        <f t="shared" si="39"/>
        <v>0.75571853665797439</v>
      </c>
      <c r="AP52" s="7">
        <f t="shared" si="40"/>
        <v>0</v>
      </c>
    </row>
    <row r="53" spans="1:42" x14ac:dyDescent="0.3">
      <c r="A53">
        <f t="shared" si="14"/>
        <v>2003</v>
      </c>
      <c r="B53" s="2">
        <f t="shared" si="48"/>
        <v>80791.766579063667</v>
      </c>
      <c r="C53" s="2"/>
      <c r="D53" s="2">
        <f t="shared" si="58"/>
        <v>112063.6724160241</v>
      </c>
      <c r="E53" s="2">
        <f t="shared" si="59"/>
        <v>47515.994975282709</v>
      </c>
      <c r="F53" s="2"/>
      <c r="G53" s="2">
        <f t="shared" si="54"/>
        <v>22749.210768231504</v>
      </c>
      <c r="H53" s="2">
        <f t="shared" si="22"/>
        <v>65619.812159017951</v>
      </c>
      <c r="I53" s="2">
        <f t="shared" si="23"/>
        <v>328740.45689761988</v>
      </c>
      <c r="J53" s="2">
        <f t="shared" si="24"/>
        <v>63434.916354384273</v>
      </c>
      <c r="K53" s="6">
        <f t="shared" si="25"/>
        <v>0.23910136299639992</v>
      </c>
      <c r="L53" s="7">
        <f t="shared" si="26"/>
        <v>1.2391013629963998</v>
      </c>
      <c r="N53">
        <f t="shared" si="27"/>
        <v>2003</v>
      </c>
      <c r="O53" s="2">
        <f t="shared" si="28"/>
        <v>7077.685464129584</v>
      </c>
      <c r="P53" s="2"/>
      <c r="Q53" s="2"/>
      <c r="R53">
        <f t="shared" si="67"/>
        <v>2003</v>
      </c>
      <c r="S53" s="2">
        <f t="shared" si="60"/>
        <v>79376.229486237746</v>
      </c>
      <c r="T53" s="2"/>
      <c r="U53" s="2">
        <f t="shared" si="61"/>
        <v>110648.13532319818</v>
      </c>
      <c r="V53" s="2">
        <f t="shared" si="62"/>
        <v>46100.457882456794</v>
      </c>
      <c r="W53" s="2"/>
      <c r="X53" s="2">
        <f t="shared" si="63"/>
        <v>21333.673675405586</v>
      </c>
      <c r="Y53" s="2">
        <f t="shared" si="64"/>
        <v>64204.275066192036</v>
      </c>
      <c r="Z53" s="2">
        <f t="shared" si="68"/>
        <v>321662.77143349033</v>
      </c>
      <c r="AA53" s="2">
        <f t="shared" si="34"/>
        <v>63296.138208028802</v>
      </c>
      <c r="AB53" s="6">
        <f t="shared" si="35"/>
        <v>0.24498572984381442</v>
      </c>
      <c r="AC53" s="7">
        <f t="shared" si="36"/>
        <v>1.2449857298438145</v>
      </c>
      <c r="AD53" s="2">
        <f t="shared" si="37"/>
        <v>0</v>
      </c>
      <c r="AF53">
        <f t="shared" si="19"/>
        <v>2003</v>
      </c>
      <c r="AG53" s="6">
        <f t="shared" si="57"/>
        <v>0.24676846851905657</v>
      </c>
      <c r="AH53" s="7"/>
      <c r="AI53" s="6">
        <f t="shared" si="65"/>
        <v>0.34398800591717438</v>
      </c>
      <c r="AJ53" s="6">
        <f t="shared" si="66"/>
        <v>0.14331922117380907</v>
      </c>
      <c r="AK53" s="7"/>
      <c r="AL53" s="6">
        <f t="shared" si="53"/>
        <v>6.6323104723409729E-2</v>
      </c>
      <c r="AM53" s="6">
        <f t="shared" si="20"/>
        <v>0.19960119966655029</v>
      </c>
      <c r="AN53" s="6">
        <f t="shared" si="38"/>
        <v>1</v>
      </c>
      <c r="AO53" s="7">
        <f t="shared" si="39"/>
        <v>0.80039880033344979</v>
      </c>
      <c r="AP53" s="7">
        <f t="shared" si="40"/>
        <v>0</v>
      </c>
    </row>
    <row r="54" spans="1:42" x14ac:dyDescent="0.3">
      <c r="A54">
        <f t="shared" si="14"/>
        <v>2004</v>
      </c>
      <c r="B54" s="2">
        <f t="shared" si="48"/>
        <v>87901.23653305968</v>
      </c>
      <c r="C54" s="2"/>
      <c r="D54" s="2">
        <f t="shared" si="58"/>
        <v>133168.3503055287</v>
      </c>
      <c r="E54" s="2">
        <f t="shared" si="59"/>
        <v>55273.065987329224</v>
      </c>
      <c r="F54" s="2"/>
      <c r="G54" s="2">
        <f t="shared" si="54"/>
        <v>25778.971259149846</v>
      </c>
      <c r="H54" s="2">
        <f t="shared" si="22"/>
        <v>66926.536328998583</v>
      </c>
      <c r="I54" s="2">
        <f t="shared" si="23"/>
        <v>369048.16041406599</v>
      </c>
      <c r="J54" s="2">
        <f>I54-I53</f>
        <v>40307.703516446112</v>
      </c>
      <c r="K54" s="6">
        <f>(J54/I53)</f>
        <v>0.12261254333232006</v>
      </c>
      <c r="L54" s="7">
        <f t="shared" si="26"/>
        <v>1.12261254333232</v>
      </c>
      <c r="N54">
        <f t="shared" si="27"/>
        <v>2004</v>
      </c>
      <c r="O54" s="2">
        <f t="shared" si="28"/>
        <v>7311.2490844458598</v>
      </c>
      <c r="P54" s="2"/>
      <c r="Q54" s="2"/>
      <c r="R54">
        <f t="shared" si="67"/>
        <v>2004</v>
      </c>
      <c r="S54" s="2">
        <f t="shared" si="60"/>
        <v>86438.986716170504</v>
      </c>
      <c r="T54" s="2"/>
      <c r="U54" s="2">
        <f t="shared" si="61"/>
        <v>131706.10048863952</v>
      </c>
      <c r="V54" s="2">
        <f t="shared" si="62"/>
        <v>53810.816170440055</v>
      </c>
      <c r="W54" s="2"/>
      <c r="X54" s="2">
        <f t="shared" si="63"/>
        <v>24316.721442260674</v>
      </c>
      <c r="Y54" s="2">
        <f t="shared" si="64"/>
        <v>65464.286512109415</v>
      </c>
      <c r="Z54" s="2">
        <f t="shared" si="68"/>
        <v>361736.91132962011</v>
      </c>
      <c r="AA54" s="2">
        <f>Z54-Z53</f>
        <v>40074.139896129782</v>
      </c>
      <c r="AB54" s="6">
        <f>(AA54/Z53)</f>
        <v>0.12458432698797985</v>
      </c>
      <c r="AC54" s="7">
        <f t="shared" si="36"/>
        <v>1.1245843269879798</v>
      </c>
      <c r="AD54" s="2">
        <f t="shared" si="37"/>
        <v>0</v>
      </c>
      <c r="AF54">
        <f t="shared" si="19"/>
        <v>2004</v>
      </c>
      <c r="AG54" s="6">
        <f t="shared" si="57"/>
        <v>0.23895539550678035</v>
      </c>
      <c r="AH54" s="7"/>
      <c r="AI54" s="6">
        <f t="shared" si="65"/>
        <v>0.36409361711121302</v>
      </c>
      <c r="AJ54" s="6">
        <f t="shared" si="66"/>
        <v>0.14875677456483513</v>
      </c>
      <c r="AK54" s="7"/>
      <c r="AL54" s="6">
        <f t="shared" ref="AL54:AL62" si="69">X54/$Z54</f>
        <v>6.7222118287240284E-2</v>
      </c>
      <c r="AM54" s="6">
        <f t="shared" si="20"/>
        <v>0.18097209452993138</v>
      </c>
      <c r="AN54" s="6">
        <f t="shared" si="38"/>
        <v>1.0000000000000002</v>
      </c>
      <c r="AO54" s="7">
        <f t="shared" si="39"/>
        <v>0.81902790547006887</v>
      </c>
      <c r="AP54" s="7">
        <f t="shared" si="40"/>
        <v>0</v>
      </c>
    </row>
    <row r="55" spans="1:42" x14ac:dyDescent="0.3">
      <c r="A55">
        <f t="shared" si="14"/>
        <v>2005</v>
      </c>
      <c r="B55" s="2">
        <f t="shared" si="48"/>
        <v>90562.126382531846</v>
      </c>
      <c r="C55" s="2"/>
      <c r="D55" s="2">
        <f t="shared" si="58"/>
        <v>150054.07734771189</v>
      </c>
      <c r="E55" s="2">
        <f t="shared" si="59"/>
        <v>57772.906565069563</v>
      </c>
      <c r="F55" s="2"/>
      <c r="G55" s="2">
        <f t="shared" si="54"/>
        <v>28103.078138035085</v>
      </c>
      <c r="H55" s="2">
        <f t="shared" si="22"/>
        <v>67035.429388400036</v>
      </c>
      <c r="I55" s="2">
        <f t="shared" si="23"/>
        <v>393527.61782174843</v>
      </c>
      <c r="J55" s="2">
        <f t="shared" si="24"/>
        <v>24479.457407682436</v>
      </c>
      <c r="K55" s="6">
        <f t="shared" si="25"/>
        <v>6.6331335672333083E-2</v>
      </c>
      <c r="L55" s="7">
        <f t="shared" si="26"/>
        <v>1.0663313356723332</v>
      </c>
      <c r="N55">
        <f t="shared" si="27"/>
        <v>2005</v>
      </c>
      <c r="O55" s="2">
        <f t="shared" si="28"/>
        <v>7552.5203042325729</v>
      </c>
      <c r="P55" s="2"/>
      <c r="Q55" s="2"/>
      <c r="R55">
        <f t="shared" si="67"/>
        <v>2005</v>
      </c>
      <c r="S55" s="2">
        <f t="shared" si="60"/>
        <v>89051.622321685325</v>
      </c>
      <c r="T55" s="2"/>
      <c r="U55" s="2">
        <f t="shared" si="61"/>
        <v>148543.57328686537</v>
      </c>
      <c r="V55" s="2">
        <f t="shared" si="62"/>
        <v>56262.40250422305</v>
      </c>
      <c r="W55" s="2"/>
      <c r="X55" s="2">
        <f t="shared" si="63"/>
        <v>26592.574077188572</v>
      </c>
      <c r="Y55" s="2">
        <f t="shared" si="64"/>
        <v>65524.925327553523</v>
      </c>
      <c r="Z55" s="2">
        <f t="shared" si="68"/>
        <v>385975.09751751582</v>
      </c>
      <c r="AA55" s="2">
        <f t="shared" ref="AA55:AA62" si="70">Z55-Z54</f>
        <v>24238.186187895713</v>
      </c>
      <c r="AB55" s="6">
        <f t="shared" ref="AB55:AB62" si="71">(AA55/Z54)</f>
        <v>6.7005012285875118E-2</v>
      </c>
      <c r="AC55" s="7">
        <f t="shared" si="36"/>
        <v>1.0670050122858752</v>
      </c>
      <c r="AD55" s="2">
        <f t="shared" si="37"/>
        <v>0</v>
      </c>
      <c r="AF55">
        <f t="shared" si="19"/>
        <v>2005</v>
      </c>
      <c r="AG55" s="6">
        <f t="shared" si="57"/>
        <v>0.2307185693959028</v>
      </c>
      <c r="AH55" s="7"/>
      <c r="AI55" s="6">
        <f t="shared" si="65"/>
        <v>0.3848527385374243</v>
      </c>
      <c r="AJ55" s="6">
        <f t="shared" si="66"/>
        <v>0.14576692347793194</v>
      </c>
      <c r="AK55" s="7"/>
      <c r="AL55" s="6">
        <f t="shared" si="69"/>
        <v>6.8897123799500512E-2</v>
      </c>
      <c r="AM55" s="6">
        <f t="shared" si="20"/>
        <v>0.16976464478924047</v>
      </c>
      <c r="AN55" s="6">
        <f t="shared" si="38"/>
        <v>1</v>
      </c>
      <c r="AO55" s="7">
        <f t="shared" si="39"/>
        <v>0.83023535521075964</v>
      </c>
      <c r="AP55" s="7">
        <f t="shared" si="40"/>
        <v>0</v>
      </c>
    </row>
    <row r="56" spans="1:42" x14ac:dyDescent="0.3">
      <c r="A56">
        <f t="shared" si="14"/>
        <v>2006</v>
      </c>
      <c r="B56" s="2">
        <f t="shared" si="48"/>
        <v>102979.29605279691</v>
      </c>
      <c r="C56" s="2"/>
      <c r="D56" s="2">
        <f t="shared" si="58"/>
        <v>168741.04294668045</v>
      </c>
      <c r="E56" s="2">
        <f t="shared" si="59"/>
        <v>65070.844240284212</v>
      </c>
      <c r="F56" s="2"/>
      <c r="G56" s="2">
        <f t="shared" si="54"/>
        <v>33676.038034129291</v>
      </c>
      <c r="H56" s="2">
        <f t="shared" si="22"/>
        <v>68322.839639040059</v>
      </c>
      <c r="I56" s="2">
        <f t="shared" si="23"/>
        <v>438790.06091293093</v>
      </c>
      <c r="J56" s="2">
        <f t="shared" si="24"/>
        <v>45262.443091182504</v>
      </c>
      <c r="K56" s="6">
        <f t="shared" si="25"/>
        <v>0.11501719584947784</v>
      </c>
      <c r="L56" s="7">
        <f t="shared" si="26"/>
        <v>1.1150171958494779</v>
      </c>
      <c r="N56">
        <f t="shared" si="27"/>
        <v>2006</v>
      </c>
      <c r="O56" s="2">
        <f t="shared" si="28"/>
        <v>7741.3333118383862</v>
      </c>
      <c r="P56" s="2"/>
      <c r="Q56" s="2"/>
      <c r="R56">
        <f t="shared" si="67"/>
        <v>2006</v>
      </c>
      <c r="S56" s="2">
        <f t="shared" si="60"/>
        <v>101431.02939042923</v>
      </c>
      <c r="T56" s="2"/>
      <c r="U56" s="2">
        <f t="shared" si="61"/>
        <v>167192.77628431277</v>
      </c>
      <c r="V56" s="2">
        <f t="shared" si="62"/>
        <v>63522.577577916534</v>
      </c>
      <c r="W56" s="2"/>
      <c r="X56" s="2">
        <f t="shared" si="63"/>
        <v>32127.771371761613</v>
      </c>
      <c r="Y56" s="2">
        <f t="shared" si="64"/>
        <v>66774.572976672382</v>
      </c>
      <c r="Z56" s="2">
        <f t="shared" si="68"/>
        <v>431048.72760109254</v>
      </c>
      <c r="AA56" s="2">
        <f t="shared" si="70"/>
        <v>45073.630083576718</v>
      </c>
      <c r="AB56" s="6">
        <f t="shared" si="71"/>
        <v>0.11677859627078983</v>
      </c>
      <c r="AC56" s="7">
        <f t="shared" si="36"/>
        <v>1.1167785962707899</v>
      </c>
      <c r="AD56" s="2">
        <f t="shared" si="37"/>
        <v>0</v>
      </c>
      <c r="AF56">
        <f t="shared" si="19"/>
        <v>2006</v>
      </c>
      <c r="AG56" s="6">
        <f t="shared" si="57"/>
        <v>0.23531221157970111</v>
      </c>
      <c r="AH56" s="7"/>
      <c r="AI56" s="6">
        <f t="shared" si="65"/>
        <v>0.38787442249229598</v>
      </c>
      <c r="AJ56" s="6">
        <f t="shared" si="66"/>
        <v>0.14736750977421406</v>
      </c>
      <c r="AK56" s="7"/>
      <c r="AL56" s="6">
        <f t="shared" si="69"/>
        <v>7.4533966381391967E-2</v>
      </c>
      <c r="AM56" s="6">
        <f t="shared" si="20"/>
        <v>0.15491188977239689</v>
      </c>
      <c r="AN56" s="6">
        <f t="shared" si="38"/>
        <v>1</v>
      </c>
      <c r="AO56" s="7">
        <f t="shared" si="39"/>
        <v>0.84508811022760322</v>
      </c>
      <c r="AP56" s="7">
        <f t="shared" si="40"/>
        <v>0</v>
      </c>
    </row>
    <row r="57" spans="1:42" x14ac:dyDescent="0.3">
      <c r="A57">
        <f t="shared" si="14"/>
        <v>2007</v>
      </c>
      <c r="B57" s="2">
        <f t="shared" si="48"/>
        <v>106898.16187457337</v>
      </c>
      <c r="C57" s="2"/>
      <c r="D57" s="2">
        <f t="shared" si="58"/>
        <v>177259.45334439125</v>
      </c>
      <c r="E57" s="2">
        <f t="shared" si="59"/>
        <v>64256.898574717248</v>
      </c>
      <c r="F57" s="2"/>
      <c r="G57" s="2">
        <f t="shared" si="54"/>
        <v>37114.644044086446</v>
      </c>
      <c r="H57" s="2">
        <f t="shared" si="22"/>
        <v>71395.373426658101</v>
      </c>
      <c r="I57" s="2">
        <f t="shared" si="23"/>
        <v>456924.53126442642</v>
      </c>
      <c r="J57" s="2">
        <f t="shared" si="24"/>
        <v>18134.470351495489</v>
      </c>
      <c r="K57" s="6">
        <f t="shared" si="25"/>
        <v>4.1328352592503025E-2</v>
      </c>
      <c r="L57" s="7">
        <f t="shared" si="26"/>
        <v>1.041328352592503</v>
      </c>
      <c r="N57">
        <f t="shared" si="27"/>
        <v>2007</v>
      </c>
      <c r="O57" s="2">
        <f t="shared" si="28"/>
        <v>8058.7279776237592</v>
      </c>
      <c r="P57" s="2"/>
      <c r="Q57" s="2"/>
      <c r="R57">
        <f t="shared" si="67"/>
        <v>2007</v>
      </c>
      <c r="S57" s="2">
        <f t="shared" si="60"/>
        <v>105286.41627904862</v>
      </c>
      <c r="T57" s="2"/>
      <c r="U57" s="2">
        <f t="shared" si="61"/>
        <v>175647.70774886649</v>
      </c>
      <c r="V57" s="2">
        <f t="shared" si="62"/>
        <v>62645.152979192499</v>
      </c>
      <c r="W57" s="2"/>
      <c r="X57" s="2">
        <f t="shared" si="63"/>
        <v>35502.898448561697</v>
      </c>
      <c r="Y57" s="2">
        <f t="shared" si="64"/>
        <v>69783.627831133344</v>
      </c>
      <c r="Z57" s="2">
        <f t="shared" si="68"/>
        <v>448865.80328680261</v>
      </c>
      <c r="AA57" s="2">
        <f t="shared" si="70"/>
        <v>17817.075685710064</v>
      </c>
      <c r="AB57" s="6">
        <f t="shared" si="71"/>
        <v>4.1334249575139925E-2</v>
      </c>
      <c r="AC57" s="7">
        <f t="shared" si="36"/>
        <v>1.0413342495751399</v>
      </c>
      <c r="AD57" s="2">
        <f t="shared" si="37"/>
        <v>0</v>
      </c>
      <c r="AF57">
        <f t="shared" si="19"/>
        <v>2007</v>
      </c>
      <c r="AG57" s="6">
        <f t="shared" si="57"/>
        <v>0.23456101023533732</v>
      </c>
      <c r="AH57" s="7"/>
      <c r="AI57" s="6">
        <f t="shared" si="65"/>
        <v>0.39131452309953868</v>
      </c>
      <c r="AJ57" s="6">
        <f t="shared" si="66"/>
        <v>0.13956321136623859</v>
      </c>
      <c r="AK57" s="7"/>
      <c r="AL57" s="6">
        <f t="shared" si="69"/>
        <v>7.9094683062494592E-2</v>
      </c>
      <c r="AM57" s="6">
        <f t="shared" si="20"/>
        <v>0.15546657223639093</v>
      </c>
      <c r="AN57" s="6">
        <f t="shared" si="38"/>
        <v>1</v>
      </c>
      <c r="AO57" s="7">
        <f t="shared" si="39"/>
        <v>0.84453342776360918</v>
      </c>
      <c r="AP57" s="7">
        <f t="shared" si="40"/>
        <v>0</v>
      </c>
    </row>
    <row r="58" spans="1:42" x14ac:dyDescent="0.3">
      <c r="A58">
        <f t="shared" si="14"/>
        <v>2008</v>
      </c>
      <c r="B58" s="2">
        <f t="shared" si="48"/>
        <v>66309.384972544809</v>
      </c>
      <c r="C58" s="2"/>
      <c r="D58" s="2">
        <f t="shared" si="58"/>
        <v>102184.81045998058</v>
      </c>
      <c r="E58" s="2">
        <f t="shared" si="59"/>
        <v>40049.046299597765</v>
      </c>
      <c r="F58" s="2"/>
      <c r="G58" s="2">
        <f t="shared" si="54"/>
        <v>19845.765203761501</v>
      </c>
      <c r="H58" s="2">
        <f t="shared" si="22"/>
        <v>73307.701036605577</v>
      </c>
      <c r="I58" s="2">
        <f t="shared" si="23"/>
        <v>301696.70797249023</v>
      </c>
      <c r="J58" s="2">
        <f t="shared" si="24"/>
        <v>-155227.82329193619</v>
      </c>
      <c r="K58" s="6">
        <f t="shared" si="25"/>
        <v>-0.33972311108440889</v>
      </c>
      <c r="L58" s="7">
        <f t="shared" si="26"/>
        <v>0.66027688891559111</v>
      </c>
      <c r="N58">
        <f t="shared" si="27"/>
        <v>2008</v>
      </c>
      <c r="O58" s="2">
        <f t="shared" si="28"/>
        <v>8058.7279776237592</v>
      </c>
      <c r="P58" s="2"/>
      <c r="Q58" s="2"/>
      <c r="R58">
        <f t="shared" si="67"/>
        <v>2008</v>
      </c>
      <c r="S58" s="2">
        <f t="shared" si="60"/>
        <v>64697.639377020059</v>
      </c>
      <c r="T58" s="2"/>
      <c r="U58" s="2">
        <f t="shared" si="61"/>
        <v>100573.06486445582</v>
      </c>
      <c r="V58" s="2">
        <f t="shared" si="62"/>
        <v>38437.300704073015</v>
      </c>
      <c r="W58" s="2"/>
      <c r="X58" s="2">
        <f t="shared" si="63"/>
        <v>18234.019608236747</v>
      </c>
      <c r="Y58" s="2">
        <f t="shared" si="64"/>
        <v>71695.95544108082</v>
      </c>
      <c r="Z58" s="2">
        <f t="shared" si="68"/>
        <v>293637.97999486641</v>
      </c>
      <c r="AA58" s="2">
        <f t="shared" si="70"/>
        <v>-155227.82329193619</v>
      </c>
      <c r="AB58" s="6">
        <f t="shared" si="71"/>
        <v>-0.34582234190104572</v>
      </c>
      <c r="AC58" s="7">
        <f t="shared" si="36"/>
        <v>0.65417765809895423</v>
      </c>
      <c r="AD58" s="2">
        <f t="shared" si="37"/>
        <v>0</v>
      </c>
      <c r="AF58">
        <f t="shared" si="19"/>
        <v>2008</v>
      </c>
      <c r="AG58" s="6">
        <f t="shared" si="57"/>
        <v>0.22033130516069874</v>
      </c>
      <c r="AH58" s="7"/>
      <c r="AI58" s="6">
        <f t="shared" si="65"/>
        <v>0.34250700425814845</v>
      </c>
      <c r="AJ58" s="6">
        <f t="shared" si="66"/>
        <v>0.13090030351232154</v>
      </c>
      <c r="AK58" s="7"/>
      <c r="AL58" s="6">
        <f t="shared" si="69"/>
        <v>6.209693857911544E-2</v>
      </c>
      <c r="AM58" s="6">
        <f t="shared" si="20"/>
        <v>0.244164448489716</v>
      </c>
      <c r="AN58" s="6">
        <f t="shared" si="38"/>
        <v>1.0000000000000002</v>
      </c>
      <c r="AO58" s="7">
        <f t="shared" si="39"/>
        <v>0.75583555151028414</v>
      </c>
      <c r="AP58" s="7">
        <f t="shared" si="40"/>
        <v>0</v>
      </c>
    </row>
    <row r="59" spans="1:42" x14ac:dyDescent="0.3">
      <c r="A59">
        <f t="shared" si="14"/>
        <v>2009</v>
      </c>
      <c r="B59" s="2">
        <f t="shared" si="48"/>
        <v>81836.044047992662</v>
      </c>
      <c r="C59" s="2"/>
      <c r="D59" s="2">
        <f t="shared" si="58"/>
        <v>141021.54009164267</v>
      </c>
      <c r="E59" s="2">
        <f t="shared" si="59"/>
        <v>52320.08497237011</v>
      </c>
      <c r="F59" s="2"/>
      <c r="G59" s="2">
        <f t="shared" si="54"/>
        <v>24930.827989753856</v>
      </c>
      <c r="H59" s="2">
        <f t="shared" si="22"/>
        <v>75947.525598736902</v>
      </c>
      <c r="I59" s="2">
        <f t="shared" si="23"/>
        <v>376056.02270049619</v>
      </c>
      <c r="J59" s="2">
        <f t="shared" si="24"/>
        <v>74359.314728005964</v>
      </c>
      <c r="K59" s="6">
        <f t="shared" si="25"/>
        <v>0.2464704213305049</v>
      </c>
      <c r="L59" s="7">
        <f t="shared" si="26"/>
        <v>1.2464704213305049</v>
      </c>
      <c r="N59">
        <f t="shared" si="27"/>
        <v>2009</v>
      </c>
      <c r="O59" s="2">
        <f t="shared" si="28"/>
        <v>8284.372360997224</v>
      </c>
      <c r="P59" s="2"/>
      <c r="Q59" s="2"/>
      <c r="R59">
        <f t="shared" si="67"/>
        <v>2009</v>
      </c>
      <c r="S59" s="2">
        <f t="shared" si="60"/>
        <v>80179.169575793218</v>
      </c>
      <c r="T59" s="2"/>
      <c r="U59" s="2">
        <f t="shared" si="61"/>
        <v>139364.66561944323</v>
      </c>
      <c r="V59" s="2">
        <f t="shared" si="62"/>
        <v>50663.210500170666</v>
      </c>
      <c r="W59" s="2"/>
      <c r="X59" s="2">
        <f t="shared" si="63"/>
        <v>23273.953517554412</v>
      </c>
      <c r="Y59" s="2">
        <f t="shared" si="64"/>
        <v>74290.651126537457</v>
      </c>
      <c r="Z59" s="2">
        <f t="shared" si="68"/>
        <v>367771.65033949894</v>
      </c>
      <c r="AA59" s="2">
        <f t="shared" si="70"/>
        <v>74133.670344632526</v>
      </c>
      <c r="AB59" s="6">
        <f t="shared" si="71"/>
        <v>0.25246621825258636</v>
      </c>
      <c r="AC59" s="7">
        <f t="shared" si="36"/>
        <v>1.2524662182525863</v>
      </c>
      <c r="AD59" s="2">
        <f t="shared" si="37"/>
        <v>0</v>
      </c>
      <c r="AF59">
        <f t="shared" si="19"/>
        <v>2009</v>
      </c>
      <c r="AG59" s="6">
        <f t="shared" si="57"/>
        <v>0.21801345889977619</v>
      </c>
      <c r="AH59" s="7"/>
      <c r="AI59" s="6">
        <f t="shared" si="65"/>
        <v>0.37894347074004298</v>
      </c>
      <c r="AJ59" s="6">
        <f t="shared" si="66"/>
        <v>0.13775724815494134</v>
      </c>
      <c r="AK59" s="7"/>
      <c r="AL59" s="6">
        <f t="shared" si="69"/>
        <v>6.3283707420269231E-2</v>
      </c>
      <c r="AM59" s="6">
        <f t="shared" si="20"/>
        <v>0.20200211478497038</v>
      </c>
      <c r="AN59" s="6">
        <f t="shared" si="38"/>
        <v>1.0000000000000002</v>
      </c>
      <c r="AO59" s="7">
        <f t="shared" si="39"/>
        <v>0.79799788521502979</v>
      </c>
      <c r="AP59" s="7">
        <f t="shared" si="40"/>
        <v>0</v>
      </c>
    </row>
    <row r="60" spans="1:42" x14ac:dyDescent="0.3">
      <c r="A60">
        <f t="shared" si="14"/>
        <v>2010</v>
      </c>
      <c r="B60" s="2">
        <f t="shared" si="48"/>
        <v>92133.883759543984</v>
      </c>
      <c r="C60" s="2"/>
      <c r="D60" s="2">
        <f t="shared" si="58"/>
        <v>174846.90948615345</v>
      </c>
      <c r="E60" s="2">
        <f t="shared" si="59"/>
        <v>64707.052450817981</v>
      </c>
      <c r="F60" s="2"/>
      <c r="G60" s="2">
        <f t="shared" si="54"/>
        <v>25862.017148706462</v>
      </c>
      <c r="H60" s="2">
        <f t="shared" si="22"/>
        <v>79060.110928861162</v>
      </c>
      <c r="I60" s="2">
        <f t="shared" si="23"/>
        <v>436609.97377408308</v>
      </c>
      <c r="J60" s="2">
        <f t="shared" si="24"/>
        <v>60553.951073586883</v>
      </c>
      <c r="K60" s="6">
        <f t="shared" si="25"/>
        <v>0.16102375023471996</v>
      </c>
      <c r="L60" s="7">
        <f t="shared" si="26"/>
        <v>1.16102375023472</v>
      </c>
      <c r="N60">
        <f t="shared" si="27"/>
        <v>2010</v>
      </c>
      <c r="O60" s="2">
        <f t="shared" si="28"/>
        <v>8400.3535740511852</v>
      </c>
      <c r="P60" s="2"/>
      <c r="Q60" s="2"/>
      <c r="R60">
        <f t="shared" si="67"/>
        <v>2010</v>
      </c>
      <c r="S60" s="2">
        <f t="shared" si="60"/>
        <v>90453.813044733746</v>
      </c>
      <c r="T60" s="2"/>
      <c r="U60" s="2">
        <f t="shared" si="61"/>
        <v>173166.83877134323</v>
      </c>
      <c r="V60" s="2">
        <f t="shared" si="62"/>
        <v>63026.981736007743</v>
      </c>
      <c r="W60" s="2"/>
      <c r="X60" s="2">
        <f t="shared" si="63"/>
        <v>24181.946433896224</v>
      </c>
      <c r="Y60" s="2">
        <f t="shared" si="64"/>
        <v>77380.040214050925</v>
      </c>
      <c r="Z60" s="2">
        <f t="shared" si="68"/>
        <v>428209.62020003179</v>
      </c>
      <c r="AA60" s="2">
        <f t="shared" si="70"/>
        <v>60437.969860532845</v>
      </c>
      <c r="AB60" s="6">
        <f t="shared" si="71"/>
        <v>0.16433558651065433</v>
      </c>
      <c r="AC60" s="7">
        <f t="shared" si="36"/>
        <v>1.1643355865106544</v>
      </c>
      <c r="AD60" s="2">
        <f t="shared" si="37"/>
        <v>0</v>
      </c>
      <c r="AF60">
        <f t="shared" si="19"/>
        <v>2010</v>
      </c>
      <c r="AG60" s="6">
        <f t="shared" si="57"/>
        <v>0.21123722769815304</v>
      </c>
      <c r="AH60" s="7"/>
      <c r="AI60" s="6">
        <f t="shared" si="65"/>
        <v>0.40439735728134951</v>
      </c>
      <c r="AJ60" s="6">
        <f t="shared" si="66"/>
        <v>0.14718721570656357</v>
      </c>
      <c r="AK60" s="7"/>
      <c r="AL60" s="6">
        <f t="shared" si="69"/>
        <v>5.6472216627454531E-2</v>
      </c>
      <c r="AM60" s="6">
        <f t="shared" si="20"/>
        <v>0.18070598268647955</v>
      </c>
      <c r="AN60" s="6">
        <f t="shared" si="38"/>
        <v>1.0000000000000002</v>
      </c>
      <c r="AO60" s="7">
        <f t="shared" si="39"/>
        <v>0.81929401731352058</v>
      </c>
      <c r="AP60" s="7">
        <f t="shared" si="40"/>
        <v>0</v>
      </c>
    </row>
    <row r="61" spans="1:42" x14ac:dyDescent="0.3">
      <c r="A61">
        <f t="shared" si="14"/>
        <v>2011</v>
      </c>
      <c r="B61" s="2">
        <f t="shared" si="48"/>
        <v>92235.753161715009</v>
      </c>
      <c r="C61" s="2"/>
      <c r="D61" s="2">
        <f t="shared" si="58"/>
        <v>169513.01847326788</v>
      </c>
      <c r="E61" s="2">
        <f t="shared" si="59"/>
        <v>61262.226247399522</v>
      </c>
      <c r="F61" s="2"/>
      <c r="G61" s="2">
        <f t="shared" si="54"/>
        <v>20661.055033120934</v>
      </c>
      <c r="H61" s="2">
        <f t="shared" si="22"/>
        <v>83229.971254233184</v>
      </c>
      <c r="I61" s="2">
        <f t="shared" si="23"/>
        <v>426902.02416973654</v>
      </c>
      <c r="J61" s="2">
        <f t="shared" si="24"/>
        <v>-9707.9496043465333</v>
      </c>
      <c r="K61" s="6">
        <f t="shared" si="25"/>
        <v>-2.2234832430488082E-2</v>
      </c>
      <c r="L61" s="7">
        <f t="shared" si="26"/>
        <v>0.97776516756951193</v>
      </c>
      <c r="N61">
        <f t="shared" si="27"/>
        <v>2011</v>
      </c>
      <c r="O61" s="2">
        <f t="shared" si="28"/>
        <v>8652.3641812727201</v>
      </c>
      <c r="P61" s="2"/>
      <c r="Q61" s="2"/>
      <c r="R61">
        <f t="shared" si="67"/>
        <v>2011</v>
      </c>
      <c r="S61" s="2">
        <f t="shared" si="60"/>
        <v>90505.280325460466</v>
      </c>
      <c r="T61" s="2"/>
      <c r="U61" s="2">
        <f t="shared" si="61"/>
        <v>167782.54563701333</v>
      </c>
      <c r="V61" s="2">
        <f t="shared" si="62"/>
        <v>59531.753411144979</v>
      </c>
      <c r="W61" s="2"/>
      <c r="X61" s="2">
        <f t="shared" si="63"/>
        <v>18930.582196866391</v>
      </c>
      <c r="Y61" s="2">
        <f t="shared" si="64"/>
        <v>81499.498417978641</v>
      </c>
      <c r="Z61" s="2">
        <f t="shared" si="68"/>
        <v>418249.65998846386</v>
      </c>
      <c r="AA61" s="2">
        <f t="shared" si="70"/>
        <v>-9959.9602115679299</v>
      </c>
      <c r="AB61" s="6">
        <f t="shared" si="71"/>
        <v>-2.3259543321131556E-2</v>
      </c>
      <c r="AC61" s="7">
        <f t="shared" si="36"/>
        <v>0.97674045667886844</v>
      </c>
      <c r="AD61" s="2">
        <f t="shared" si="37"/>
        <v>0</v>
      </c>
      <c r="AF61">
        <f t="shared" si="19"/>
        <v>2011</v>
      </c>
      <c r="AG61" s="6">
        <f t="shared" si="57"/>
        <v>0.21639056521398434</v>
      </c>
      <c r="AH61" s="7"/>
      <c r="AI61" s="6">
        <f t="shared" si="65"/>
        <v>0.40115405148599786</v>
      </c>
      <c r="AJ61" s="6">
        <f t="shared" si="66"/>
        <v>0.1423354496278299</v>
      </c>
      <c r="AK61" s="7"/>
      <c r="AL61" s="6">
        <f t="shared" si="69"/>
        <v>4.5261440732285434E-2</v>
      </c>
      <c r="AM61" s="6">
        <f t="shared" si="20"/>
        <v>0.19485849293990234</v>
      </c>
      <c r="AN61" s="6">
        <f t="shared" si="38"/>
        <v>0.99999999999999978</v>
      </c>
      <c r="AO61" s="7">
        <f t="shared" si="39"/>
        <v>0.80514150706009746</v>
      </c>
      <c r="AP61" s="7">
        <f t="shared" si="40"/>
        <v>0</v>
      </c>
    </row>
    <row r="62" spans="1:42" x14ac:dyDescent="0.3">
      <c r="A62">
        <f t="shared" si="14"/>
        <v>2012</v>
      </c>
      <c r="B62" s="2">
        <f t="shared" si="48"/>
        <v>104823.2156729483</v>
      </c>
      <c r="C62" s="2"/>
      <c r="D62" s="2">
        <f t="shared" si="58"/>
        <v>194292.18784766144</v>
      </c>
      <c r="E62" s="2">
        <f t="shared" si="59"/>
        <v>70271.281726515546</v>
      </c>
      <c r="F62" s="2"/>
      <c r="G62" s="2">
        <f t="shared" si="54"/>
        <v>22364.589807377954</v>
      </c>
      <c r="H62" s="2">
        <f t="shared" si="22"/>
        <v>84800.228103906775</v>
      </c>
      <c r="I62" s="2">
        <f t="shared" si="23"/>
        <v>476551.50315841002</v>
      </c>
      <c r="J62" s="2">
        <f t="shared" si="24"/>
        <v>49649.47898867348</v>
      </c>
      <c r="K62" s="6">
        <f t="shared" si="25"/>
        <v>0.1163018120732377</v>
      </c>
      <c r="L62" s="7">
        <f t="shared" si="26"/>
        <v>1.1163018120732378</v>
      </c>
      <c r="N62">
        <f t="shared" si="27"/>
        <v>2012</v>
      </c>
      <c r="O62" s="2">
        <f t="shared" si="28"/>
        <v>8808.1067365356284</v>
      </c>
      <c r="P62" s="2"/>
      <c r="Q62" s="2"/>
      <c r="R62">
        <f t="shared" si="67"/>
        <v>2012</v>
      </c>
      <c r="S62" s="2">
        <f t="shared" si="60"/>
        <v>103061.59432564117</v>
      </c>
      <c r="T62" s="2"/>
      <c r="U62" s="2">
        <f t="shared" si="61"/>
        <v>192530.56650035433</v>
      </c>
      <c r="V62" s="2">
        <f t="shared" si="62"/>
        <v>68509.660379208421</v>
      </c>
      <c r="W62" s="2"/>
      <c r="X62" s="2">
        <f t="shared" si="63"/>
        <v>20602.968460070828</v>
      </c>
      <c r="Y62" s="2">
        <f t="shared" si="64"/>
        <v>83038.606756599649</v>
      </c>
      <c r="Z62" s="2">
        <f t="shared" si="68"/>
        <v>467743.39642187441</v>
      </c>
      <c r="AA62" s="2">
        <f t="shared" si="70"/>
        <v>49493.736433410551</v>
      </c>
      <c r="AB62" s="6">
        <f t="shared" si="71"/>
        <v>0.11833538952494471</v>
      </c>
      <c r="AC62" s="7">
        <f t="shared" si="36"/>
        <v>1.1183353895249448</v>
      </c>
      <c r="AD62" s="2">
        <f t="shared" si="37"/>
        <v>0</v>
      </c>
      <c r="AF62">
        <f t="shared" si="19"/>
        <v>2012</v>
      </c>
      <c r="AG62" s="6">
        <f t="shared" si="57"/>
        <v>0.22033789277205798</v>
      </c>
      <c r="AH62" s="7"/>
      <c r="AI62" s="6">
        <f t="shared" si="65"/>
        <v>0.41161578757320211</v>
      </c>
      <c r="AJ62" s="6">
        <f t="shared" si="66"/>
        <v>0.14646847160920071</v>
      </c>
      <c r="AK62" s="7"/>
      <c r="AL62" s="6">
        <f t="shared" si="69"/>
        <v>4.4047588095692272E-2</v>
      </c>
      <c r="AM62" s="6">
        <f t="shared" si="20"/>
        <v>0.17753025994984689</v>
      </c>
      <c r="AN62" s="6">
        <f t="shared" si="38"/>
        <v>1</v>
      </c>
      <c r="AO62" s="7">
        <f t="shared" si="39"/>
        <v>0.82246974005015316</v>
      </c>
      <c r="AP62" s="7">
        <f t="shared" si="40"/>
        <v>0</v>
      </c>
    </row>
    <row r="63" spans="1:42" x14ac:dyDescent="0.3">
      <c r="A63">
        <f t="shared" si="14"/>
        <v>2013</v>
      </c>
      <c r="B63" s="2">
        <f t="shared" si="48"/>
        <v>136226.81537963252</v>
      </c>
      <c r="C63" s="2"/>
      <c r="D63" s="2">
        <f t="shared" ref="D63:E63" si="72">U62*(1+(D29/100))</f>
        <v>259916.26477547837</v>
      </c>
      <c r="E63" s="2">
        <f t="shared" si="72"/>
        <v>94282.994613866613</v>
      </c>
      <c r="F63" s="2"/>
      <c r="G63" s="2">
        <f t="shared" ref="G63:H63" si="73">X62*(1+(G29/100))</f>
        <v>23701.654916465479</v>
      </c>
      <c r="H63" s="2">
        <f t="shared" si="73"/>
        <v>81161.934243900498</v>
      </c>
      <c r="I63" s="2">
        <f t="shared" ref="I63:I64" si="74">SUM(B63:H63)</f>
        <v>595289.66392934346</v>
      </c>
      <c r="J63" s="2">
        <f t="shared" ref="J63:J64" si="75">I63-I62</f>
        <v>118738.16077093343</v>
      </c>
      <c r="K63" s="6">
        <f t="shared" ref="K63:K64" si="76">(J63/I62)</f>
        <v>0.24916123437651563</v>
      </c>
      <c r="L63" s="7">
        <f t="shared" ref="L63:L64" si="77">K63+1</f>
        <v>1.2491612343765157</v>
      </c>
      <c r="N63">
        <f t="shared" ref="N63:N64" si="78">A63</f>
        <v>2013</v>
      </c>
      <c r="O63" s="2">
        <f t="shared" si="28"/>
        <v>8909.892487381605</v>
      </c>
      <c r="P63" s="2"/>
      <c r="Q63" s="2"/>
      <c r="R63">
        <f t="shared" ref="R63:R64" si="79">A63</f>
        <v>2013</v>
      </c>
      <c r="S63" s="2">
        <f t="shared" ref="S63:S64" si="80">B63-($O63/5)</f>
        <v>134444.8368821562</v>
      </c>
      <c r="T63" s="2"/>
      <c r="U63" s="2">
        <f t="shared" ref="U63:U64" si="81">D63-($O63/5)</f>
        <v>258134.28627800205</v>
      </c>
      <c r="V63" s="2">
        <f t="shared" ref="V63:V64" si="82">E63-($O63/5)</f>
        <v>92501.016116390296</v>
      </c>
      <c r="W63" s="2"/>
      <c r="X63" s="2">
        <f t="shared" ref="X63:X64" si="83">G63-($O63/5)</f>
        <v>21919.676418989158</v>
      </c>
      <c r="Y63" s="2">
        <f t="shared" ref="Y63:Y64" si="84">H63-($O63/5)</f>
        <v>79379.955746424181</v>
      </c>
      <c r="Z63" s="2">
        <f t="shared" ref="Z63:Z64" si="85">SUM(S63:Y63)</f>
        <v>586379.77144196187</v>
      </c>
      <c r="AA63" s="2">
        <f t="shared" ref="AA63:AA64" si="86">Z63-Z62</f>
        <v>118636.37502008746</v>
      </c>
      <c r="AB63" s="6">
        <f t="shared" ref="AB63:AB64" si="87">(AA63/Z62)</f>
        <v>0.25363559577244166</v>
      </c>
      <c r="AC63" s="7">
        <f t="shared" ref="AC63:AC64" si="88">AB63+1</f>
        <v>1.2536355957724417</v>
      </c>
      <c r="AD63" s="2">
        <f t="shared" ref="AD63:AD64" si="89">Z63-(I63-O63)</f>
        <v>0</v>
      </c>
      <c r="AF63">
        <f t="shared" ref="AF63:AF64" si="90">A63</f>
        <v>2013</v>
      </c>
      <c r="AG63" s="6">
        <f t="shared" ref="AG63:AG64" si="91">S63/$Z63</f>
        <v>0.22927945920021076</v>
      </c>
      <c r="AH63" s="7"/>
      <c r="AI63" s="6">
        <f t="shared" ref="AI63:AI64" si="92">U63/$Z63</f>
        <v>0.44021690182665418</v>
      </c>
      <c r="AJ63" s="6">
        <f t="shared" ref="AJ63:AJ64" si="93">V63/$Z63</f>
        <v>0.15774933007822178</v>
      </c>
      <c r="AK63" s="7"/>
      <c r="AL63" s="6">
        <f t="shared" ref="AL63:AL64" si="94">X63/$Z63</f>
        <v>3.7381365262800004E-2</v>
      </c>
      <c r="AM63" s="6">
        <f t="shared" ref="AM63:AM64" si="95">Y63/$Z63</f>
        <v>0.1353729436321133</v>
      </c>
      <c r="AN63" s="6">
        <f t="shared" ref="AN63:AN64" si="96">SUM(AG63:AM63)</f>
        <v>1</v>
      </c>
      <c r="AO63" s="7">
        <f t="shared" ref="AO63:AO64" si="97">SUM(AG63:AL63)</f>
        <v>0.86462705636788673</v>
      </c>
      <c r="AP63" s="7">
        <f t="shared" ref="AP63:AP64" si="98">AN63-(AO63+AM63)</f>
        <v>0</v>
      </c>
    </row>
    <row r="64" spans="1:42" x14ac:dyDescent="0.3">
      <c r="A64">
        <f t="shared" si="14"/>
        <v>2014</v>
      </c>
      <c r="B64" s="2">
        <f t="shared" si="48"/>
        <v>152608.33434493552</v>
      </c>
      <c r="C64" s="2"/>
      <c r="D64" s="2">
        <f t="shared" ref="D64:E64" si="99">U63*(1+(D30/100))</f>
        <v>293240.54921181034</v>
      </c>
      <c r="E64" s="2">
        <f t="shared" si="99"/>
        <v>99318.341004168265</v>
      </c>
      <c r="F64" s="2"/>
      <c r="G64" s="2">
        <f t="shared" ref="G64:H64" si="100">X63*(1+(G30/100))</f>
        <v>20990.282138824019</v>
      </c>
      <c r="H64" s="2">
        <f t="shared" si="100"/>
        <v>83952.241197418218</v>
      </c>
      <c r="I64" s="2">
        <f t="shared" si="74"/>
        <v>650109.74789715628</v>
      </c>
      <c r="J64" s="2">
        <f t="shared" si="75"/>
        <v>54820.083967812825</v>
      </c>
      <c r="K64" s="6">
        <f t="shared" si="76"/>
        <v>9.2089762832367222E-2</v>
      </c>
      <c r="L64" s="7">
        <f t="shared" si="77"/>
        <v>1.0920897628323671</v>
      </c>
      <c r="N64">
        <f t="shared" si="78"/>
        <v>2014</v>
      </c>
      <c r="O64" s="2">
        <f t="shared" si="28"/>
        <v>9024.8301004688274</v>
      </c>
      <c r="P64" s="2"/>
      <c r="R64">
        <f t="shared" si="79"/>
        <v>2014</v>
      </c>
      <c r="S64" s="2">
        <f t="shared" si="80"/>
        <v>150803.36832484175</v>
      </c>
      <c r="T64" s="2"/>
      <c r="U64" s="2">
        <f t="shared" si="81"/>
        <v>291435.58319171658</v>
      </c>
      <c r="V64" s="2">
        <f t="shared" si="82"/>
        <v>97513.3749840745</v>
      </c>
      <c r="W64" s="2"/>
      <c r="X64" s="2">
        <f t="shared" si="83"/>
        <v>19185.316118730254</v>
      </c>
      <c r="Y64" s="2">
        <f t="shared" si="84"/>
        <v>82147.275177324453</v>
      </c>
      <c r="Z64" s="2">
        <f t="shared" si="85"/>
        <v>641084.91779668746</v>
      </c>
      <c r="AA64" s="2">
        <f t="shared" si="86"/>
        <v>54705.146354725584</v>
      </c>
      <c r="AB64" s="6">
        <f t="shared" si="87"/>
        <v>9.3293031272549856E-2</v>
      </c>
      <c r="AC64" s="7">
        <f t="shared" si="88"/>
        <v>1.09329303127255</v>
      </c>
      <c r="AD64" s="2">
        <f t="shared" si="89"/>
        <v>0</v>
      </c>
      <c r="AF64">
        <f t="shared" si="90"/>
        <v>2014</v>
      </c>
      <c r="AG64" s="6">
        <f t="shared" si="91"/>
        <v>0.23523150231506035</v>
      </c>
      <c r="AH64" s="7"/>
      <c r="AI64" s="6">
        <f t="shared" si="92"/>
        <v>0.45459747234943054</v>
      </c>
      <c r="AJ64" s="6">
        <f t="shared" si="93"/>
        <v>0.15210679939127772</v>
      </c>
      <c r="AK64" s="7"/>
      <c r="AL64" s="6">
        <f t="shared" si="94"/>
        <v>2.99263258051169E-2</v>
      </c>
      <c r="AM64" s="6">
        <f t="shared" si="95"/>
        <v>0.12813790013911464</v>
      </c>
      <c r="AN64" s="6">
        <f t="shared" si="96"/>
        <v>1</v>
      </c>
      <c r="AO64" s="7">
        <f t="shared" si="97"/>
        <v>0.87186209986088548</v>
      </c>
      <c r="AP64" s="7">
        <f t="shared" si="98"/>
        <v>0</v>
      </c>
    </row>
    <row r="65" spans="1:42" x14ac:dyDescent="0.3">
      <c r="A65">
        <f t="shared" si="14"/>
        <v>2015</v>
      </c>
      <c r="B65" s="2">
        <f t="shared" si="48"/>
        <v>152688.41042890228</v>
      </c>
      <c r="C65" s="2"/>
      <c r="D65" s="2">
        <f t="shared" ref="D65" si="101">U64*(1+(D31/100))</f>
        <v>287180.62367711752</v>
      </c>
      <c r="E65" s="2">
        <f t="shared" ref="E65" si="102">V64*(1+(E31/100))</f>
        <v>93827.369409676481</v>
      </c>
      <c r="F65" s="2"/>
      <c r="G65" s="2">
        <f t="shared" ref="G65" si="103">X64*(1+(G31/100))</f>
        <v>18346.917804341741</v>
      </c>
      <c r="H65" s="2">
        <f t="shared" ref="H65" si="104">Y64*(1+(H31/100))</f>
        <v>82393.717002856414</v>
      </c>
      <c r="I65" s="2">
        <f t="shared" ref="I65" si="105">SUM(B65:H65)</f>
        <v>634437.03832289448</v>
      </c>
      <c r="J65" s="2">
        <f t="shared" ref="J65" si="106">I65-I64</f>
        <v>-15672.709574261797</v>
      </c>
      <c r="K65" s="6">
        <f t="shared" ref="K65" si="107">(J65/I64)</f>
        <v>-2.4107790453776017E-2</v>
      </c>
      <c r="L65" s="7">
        <f t="shared" ref="L65" si="108">K65+1</f>
        <v>0.97589220954622402</v>
      </c>
      <c r="N65">
        <f t="shared" ref="N65" si="109">A65</f>
        <v>2015</v>
      </c>
      <c r="O65" s="2">
        <f t="shared" si="28"/>
        <v>9064.5393529108896</v>
      </c>
      <c r="P65" s="2"/>
      <c r="R65">
        <f t="shared" ref="R65" si="110">A65</f>
        <v>2015</v>
      </c>
      <c r="S65" s="2">
        <f t="shared" ref="S65" si="111">B65-($O65/5)</f>
        <v>150875.50255832009</v>
      </c>
      <c r="T65" s="2"/>
      <c r="U65" s="2">
        <f t="shared" ref="U65" si="112">D65-($O65/5)</f>
        <v>285367.71580653533</v>
      </c>
      <c r="V65" s="2">
        <f t="shared" ref="V65" si="113">E65-($O65/5)</f>
        <v>92014.461539094307</v>
      </c>
      <c r="W65" s="2"/>
      <c r="X65" s="2">
        <f t="shared" ref="X65" si="114">G65-($O65/5)</f>
        <v>16534.009933759564</v>
      </c>
      <c r="Y65" s="2">
        <f t="shared" ref="Y65" si="115">H65-($O65/5)</f>
        <v>80580.80913227424</v>
      </c>
      <c r="Z65" s="2">
        <f t="shared" ref="Z65" si="116">SUM(S65:Y65)</f>
        <v>625372.49896998354</v>
      </c>
      <c r="AA65" s="2">
        <f t="shared" ref="AA65" si="117">Z65-Z64</f>
        <v>-15712.418826703914</v>
      </c>
      <c r="AB65" s="6">
        <f t="shared" ref="AB65" si="118">(AA65/Z64)</f>
        <v>-2.4509106969331201E-2</v>
      </c>
      <c r="AC65" s="7">
        <f t="shared" ref="AC65" si="119">AB65+1</f>
        <v>0.97549089303066883</v>
      </c>
      <c r="AD65" s="2">
        <f t="shared" ref="AD65" si="120">Z65-(I65-O65)</f>
        <v>0</v>
      </c>
      <c r="AF65">
        <f t="shared" ref="AF65" si="121">A65</f>
        <v>2015</v>
      </c>
      <c r="AG65" s="6">
        <f t="shared" ref="AG65" si="122">S65/$Z65</f>
        <v>0.24125701530978544</v>
      </c>
      <c r="AH65" s="7"/>
      <c r="AI65" s="6">
        <f t="shared" ref="AI65" si="123">U65/$Z65</f>
        <v>0.45631638147911641</v>
      </c>
      <c r="AJ65" s="6">
        <f t="shared" ref="AJ65" si="124">V65/$Z65</f>
        <v>0.14713544597923037</v>
      </c>
      <c r="AK65" s="7"/>
      <c r="AL65" s="6">
        <f t="shared" ref="AL65" si="125">X65/$Z65</f>
        <v>2.6438658497122621E-2</v>
      </c>
      <c r="AM65" s="6">
        <f t="shared" ref="AM65" si="126">Y65/$Z65</f>
        <v>0.12885249873474519</v>
      </c>
      <c r="AN65" s="6">
        <f t="shared" ref="AN65" si="127">SUM(AG65:AM65)</f>
        <v>1</v>
      </c>
      <c r="AO65" s="7">
        <f t="shared" ref="AO65" si="128">SUM(AG65:AL65)</f>
        <v>0.87114750126525475</v>
      </c>
      <c r="AP65" s="7">
        <f t="shared" ref="AP65" si="129">AN65-(AO65+AM65)</f>
        <v>0</v>
      </c>
    </row>
    <row r="66" spans="1:42" x14ac:dyDescent="0.3">
      <c r="A66" s="9" t="s">
        <v>82</v>
      </c>
      <c r="B66" s="10">
        <f>S66</f>
        <v>150875.50255832009</v>
      </c>
      <c r="C66" s="10"/>
      <c r="D66" s="10">
        <f>U66</f>
        <v>285367.71580653533</v>
      </c>
      <c r="E66" s="10">
        <f>V66</f>
        <v>92014.461539094307</v>
      </c>
      <c r="F66" s="10"/>
      <c r="G66" s="10">
        <f>X66</f>
        <v>16534.009933759564</v>
      </c>
      <c r="H66" s="10">
        <f>Y66</f>
        <v>80580.80913227424</v>
      </c>
      <c r="I66" s="10">
        <f>SUM(B66:H66)</f>
        <v>625372.49896998354</v>
      </c>
      <c r="J66" s="10"/>
      <c r="K66" s="10"/>
      <c r="N66" t="s">
        <v>43</v>
      </c>
      <c r="O66" s="2">
        <f>O64</f>
        <v>9024.8301004688274</v>
      </c>
      <c r="P66" s="2"/>
      <c r="R66" s="9" t="s">
        <v>82</v>
      </c>
      <c r="S66" s="10">
        <f>S65</f>
        <v>150875.50255832009</v>
      </c>
      <c r="T66" s="10"/>
      <c r="U66" s="10">
        <f>U65</f>
        <v>285367.71580653533</v>
      </c>
      <c r="V66" s="10">
        <f>V65</f>
        <v>92014.461539094307</v>
      </c>
      <c r="W66" s="10"/>
      <c r="X66" s="10">
        <f>X65</f>
        <v>16534.009933759564</v>
      </c>
      <c r="Y66" s="10">
        <f>Y65</f>
        <v>80580.80913227424</v>
      </c>
      <c r="Z66" s="10">
        <f>SUM(S66:Y66)</f>
        <v>625372.49896998354</v>
      </c>
      <c r="AA66" s="44"/>
      <c r="AB66" s="44"/>
      <c r="AC66" s="44"/>
      <c r="AD66" s="44"/>
      <c r="AJ66" s="7"/>
    </row>
    <row r="67" spans="1:42" x14ac:dyDescent="0.3">
      <c r="A67" s="11" t="s">
        <v>12</v>
      </c>
      <c r="I67" s="6">
        <f>(Z66-Z37)/Z37</f>
        <v>5.253724989699835</v>
      </c>
      <c r="K67" s="6"/>
      <c r="N67" t="s">
        <v>74</v>
      </c>
      <c r="O67" s="2">
        <f>SUM(O38:O65)</f>
        <v>194718.8452520174</v>
      </c>
      <c r="P67" s="2"/>
      <c r="AH67" s="7"/>
      <c r="AJ67" s="7"/>
    </row>
    <row r="68" spans="1:42" x14ac:dyDescent="0.3">
      <c r="A68" s="1" t="s">
        <v>13</v>
      </c>
      <c r="I68" s="12">
        <f>STDEV(AC38:AC65)</f>
        <v>0.13590630551116678</v>
      </c>
      <c r="AI68" s="7"/>
    </row>
    <row r="69" spans="1:42" x14ac:dyDescent="0.3">
      <c r="A69" s="1" t="s">
        <v>14</v>
      </c>
      <c r="I69" s="13">
        <f>((1+I67)^(1/28))-1</f>
        <v>6.7661366085239427E-2</v>
      </c>
    </row>
    <row r="70" spans="1:42" x14ac:dyDescent="0.3">
      <c r="A70" s="1" t="s">
        <v>86</v>
      </c>
      <c r="I70" s="31">
        <f>J58</f>
        <v>-155227.82329193619</v>
      </c>
      <c r="O70" s="2"/>
      <c r="P70" s="2"/>
    </row>
    <row r="71" spans="1:42" x14ac:dyDescent="0.3">
      <c r="A71" s="1" t="s">
        <v>87</v>
      </c>
      <c r="I71" s="32">
        <f>K58</f>
        <v>-0.33972311108440889</v>
      </c>
    </row>
    <row r="72" spans="1:42" x14ac:dyDescent="0.3">
      <c r="A72" s="1" t="s">
        <v>46</v>
      </c>
      <c r="I72" s="2">
        <f>O67</f>
        <v>194718.8452520174</v>
      </c>
    </row>
    <row r="73" spans="1:42" x14ac:dyDescent="0.3">
      <c r="A73" s="3" t="s">
        <v>88</v>
      </c>
      <c r="I73" s="33">
        <f>I66-Z66</f>
        <v>0</v>
      </c>
    </row>
    <row r="74" spans="1:42" x14ac:dyDescent="0.3">
      <c r="A74" s="3" t="s">
        <v>157</v>
      </c>
      <c r="I74" s="33">
        <f>((SUM(AA38:AA65)))-(I66-I37)</f>
        <v>0</v>
      </c>
    </row>
    <row r="75" spans="1:42" x14ac:dyDescent="0.3">
      <c r="A75" s="3" t="s">
        <v>156</v>
      </c>
      <c r="I75" s="33">
        <f>(SUM(O38:O65))-I72</f>
        <v>0</v>
      </c>
    </row>
    <row r="76" spans="1:42" x14ac:dyDescent="0.3">
      <c r="B76" s="66"/>
      <c r="C76" s="66"/>
      <c r="D76" s="66"/>
      <c r="E76" s="66"/>
      <c r="G76" s="66"/>
      <c r="H76" s="66"/>
      <c r="I76" s="66"/>
    </row>
    <row r="77" spans="1:42" x14ac:dyDescent="0.3">
      <c r="B77" s="2"/>
      <c r="D77" s="2"/>
      <c r="E77" s="2"/>
      <c r="G77" s="2"/>
      <c r="H77" s="2"/>
      <c r="I77" s="2"/>
    </row>
    <row r="79" spans="1:42" x14ac:dyDescent="0.3">
      <c r="B79" s="66"/>
      <c r="C79" s="66"/>
      <c r="D79" s="66"/>
      <c r="E79" s="66"/>
      <c r="G79" s="66"/>
      <c r="H79" s="66"/>
      <c r="I79" s="66"/>
    </row>
    <row r="80" spans="1:42" x14ac:dyDescent="0.3">
      <c r="B80" s="2"/>
      <c r="D80" s="2"/>
      <c r="E80" s="2"/>
      <c r="G80" s="2"/>
      <c r="H80" s="2"/>
      <c r="I80" s="2"/>
    </row>
  </sheetData>
  <phoneticPr fontId="12"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78"/>
  <sheetViews>
    <sheetView topLeftCell="AW36" zoomScaleNormal="100" workbookViewId="0">
      <pane xSplit="30000" topLeftCell="AV1"/>
      <selection activeCell="BM64" sqref="BM64"/>
      <selection pane="topRight" activeCell="AV24" sqref="AV24"/>
    </sheetView>
  </sheetViews>
  <sheetFormatPr defaultColWidth="8.88671875" defaultRowHeight="14.4" x14ac:dyDescent="0.3"/>
  <cols>
    <col min="1" max="1" width="25.44140625" customWidth="1"/>
    <col min="2" max="2" width="9.33203125" bestFit="1" customWidth="1"/>
    <col min="4" max="4" width="9.33203125" bestFit="1" customWidth="1"/>
    <col min="7" max="7" width="9.88671875" bestFit="1" customWidth="1"/>
    <col min="8" max="8" width="9.33203125" bestFit="1" customWidth="1"/>
    <col min="9" max="9" width="11.6640625" customWidth="1"/>
    <col min="10" max="10" width="10" bestFit="1" customWidth="1"/>
    <col min="11" max="12" width="8.88671875" customWidth="1"/>
    <col min="15" max="15" width="9.88671875" bestFit="1" customWidth="1"/>
    <col min="16" max="16" width="9.88671875" customWidth="1"/>
    <col min="18" max="18" width="9.109375" customWidth="1"/>
    <col min="19" max="19" width="10.88671875" bestFit="1" customWidth="1"/>
    <col min="21" max="21" width="11.88671875" bestFit="1" customWidth="1"/>
    <col min="24" max="24" width="9.88671875" bestFit="1" customWidth="1"/>
    <col min="25" max="25" width="9.33203125" bestFit="1" customWidth="1"/>
    <col min="26" max="26" width="10.88671875" bestFit="1" customWidth="1"/>
    <col min="27" max="27" width="10" bestFit="1" customWidth="1"/>
    <col min="30" max="31" width="10.88671875" customWidth="1"/>
    <col min="56" max="56" width="10.88671875" bestFit="1" customWidth="1"/>
    <col min="58" max="58" width="9.33203125" bestFit="1" customWidth="1"/>
    <col min="61" max="61" width="10.109375" customWidth="1"/>
    <col min="62" max="63" width="9.33203125" bestFit="1" customWidth="1"/>
  </cols>
  <sheetData>
    <row r="1" spans="1:16" x14ac:dyDescent="0.3">
      <c r="A1" s="20" t="s">
        <v>53</v>
      </c>
      <c r="N1" s="20" t="s">
        <v>151</v>
      </c>
    </row>
    <row r="2" spans="1:16" x14ac:dyDescent="0.3">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5"/>
    </row>
    <row r="3" spans="1:16" x14ac:dyDescent="0.3">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50" t="str">
        <f>'4% Withdrawals-No Rebalancing'!N3</f>
        <v>Year</v>
      </c>
      <c r="O3" s="51" t="str">
        <f>'4% Withdrawals-No Rebalancing'!O3</f>
        <v>CPI</v>
      </c>
      <c r="P3" s="45"/>
    </row>
    <row r="4" spans="1:16" x14ac:dyDescent="0.3">
      <c r="A4" s="17">
        <f>'Non-Rebalanced Portfolio'!A4</f>
        <v>1988</v>
      </c>
      <c r="B4" s="17">
        <f>'Non-Rebalanced Portfolio'!B4</f>
        <v>16.22</v>
      </c>
      <c r="C4" s="17">
        <f>'Non-Rebalanced Portfolio'!C4</f>
        <v>19.747</v>
      </c>
      <c r="D4" s="17"/>
      <c r="E4" s="17"/>
      <c r="F4" s="17">
        <f>'Non-Rebalanced Portfolio'!F4</f>
        <v>18.777999999999999</v>
      </c>
      <c r="G4" s="17"/>
      <c r="H4" s="17">
        <f>'Non-Rebalanced Portfolio'!H4</f>
        <v>7.35</v>
      </c>
      <c r="N4" s="50">
        <f>'4% Withdrawals-No Rebalancing'!N4</f>
        <v>1988</v>
      </c>
      <c r="O4" s="51">
        <f>'4% Withdrawals-No Rebalancing'!O4</f>
        <v>4.3999999999999997E-2</v>
      </c>
      <c r="P4" s="45"/>
    </row>
    <row r="5" spans="1:16" x14ac:dyDescent="0.3">
      <c r="A5" s="17">
        <f>'Non-Rebalanced Portfolio'!A5</f>
        <v>1989</v>
      </c>
      <c r="B5" s="17">
        <f>'Non-Rebalanced Portfolio'!B5</f>
        <v>31.36</v>
      </c>
      <c r="C5" s="17">
        <f>'Non-Rebalanced Portfolio'!C5</f>
        <v>24.096</v>
      </c>
      <c r="D5" s="17"/>
      <c r="E5" s="17"/>
      <c r="F5" s="17">
        <f>'Non-Rebalanced Portfolio'!F5</f>
        <v>25.971</v>
      </c>
      <c r="G5" s="17"/>
      <c r="H5" s="17">
        <f>'Non-Rebalanced Portfolio'!H5</f>
        <v>13.64</v>
      </c>
      <c r="N5" s="50">
        <f>'4% Withdrawals-No Rebalancing'!N5</f>
        <v>1989</v>
      </c>
      <c r="O5" s="51">
        <f>'4% Withdrawals-No Rebalancing'!O5</f>
        <v>4.5999999999999999E-2</v>
      </c>
      <c r="P5" s="45"/>
    </row>
    <row r="6" spans="1:16" x14ac:dyDescent="0.3">
      <c r="A6" s="17">
        <f>'Non-Rebalanced Portfolio'!A6</f>
        <v>1990</v>
      </c>
      <c r="B6" s="17">
        <f>'Non-Rebalanced Portfolio'!B6</f>
        <v>-3.32</v>
      </c>
      <c r="C6" s="17">
        <f>'Non-Rebalanced Portfolio'!C6</f>
        <v>-14.045</v>
      </c>
      <c r="D6" s="17"/>
      <c r="E6" s="17"/>
      <c r="F6" s="17">
        <f>'Non-Rebalanced Portfolio'!F6</f>
        <v>-12.26</v>
      </c>
      <c r="G6" s="17"/>
      <c r="H6" s="17">
        <f>'Non-Rebalanced Portfolio'!H6</f>
        <v>8.65</v>
      </c>
      <c r="N6" s="50">
        <f>'4% Withdrawals-No Rebalancing'!N6</f>
        <v>1990</v>
      </c>
      <c r="O6" s="51">
        <f>'4% Withdrawals-No Rebalancing'!O6</f>
        <v>6.3E-2</v>
      </c>
      <c r="P6" s="45"/>
    </row>
    <row r="7" spans="1:16" x14ac:dyDescent="0.3">
      <c r="A7" s="17">
        <f>'Non-Rebalanced Portfolio'!A7</f>
        <v>1991</v>
      </c>
      <c r="B7" s="17">
        <f>'Non-Rebalanced Portfolio'!B7</f>
        <v>30.22</v>
      </c>
      <c r="C7" s="17">
        <f>'Non-Rebalanced Portfolio'!C7</f>
        <v>41.85</v>
      </c>
      <c r="D7" s="17"/>
      <c r="E7" s="17"/>
      <c r="F7" s="17">
        <f>'Non-Rebalanced Portfolio'!F7</f>
        <v>9.9559999999999995</v>
      </c>
      <c r="G7" s="17"/>
      <c r="H7" s="17">
        <f>'Non-Rebalanced Portfolio'!H7</f>
        <v>15.25</v>
      </c>
      <c r="N7" s="50">
        <f>'4% Withdrawals-No Rebalancing'!N7</f>
        <v>1991</v>
      </c>
      <c r="O7" s="51">
        <f>'4% Withdrawals-No Rebalancing'!O7</f>
        <v>0.03</v>
      </c>
      <c r="P7" s="45"/>
    </row>
    <row r="8" spans="1:16" x14ac:dyDescent="0.3">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c r="N8" s="50">
        <f>'4% Withdrawals-No Rebalancing'!N8</f>
        <v>1992</v>
      </c>
      <c r="O8" s="51">
        <f>'4% Withdrawals-No Rebalancing'!O8</f>
        <v>0.03</v>
      </c>
      <c r="P8" s="45"/>
    </row>
    <row r="9" spans="1:16" x14ac:dyDescent="0.3">
      <c r="A9" s="17">
        <f>'Non-Rebalanced Portfolio'!A9</f>
        <v>1993</v>
      </c>
      <c r="B9" s="17">
        <f>'Non-Rebalanced Portfolio'!B9</f>
        <v>9.89</v>
      </c>
      <c r="C9" s="17">
        <f>'Non-Rebalanced Portfolio'!C9</f>
        <v>14.49</v>
      </c>
      <c r="D9" s="17"/>
      <c r="E9" s="17"/>
      <c r="F9" s="17">
        <f>'Non-Rebalanced Portfolio'!F9</f>
        <v>30.494</v>
      </c>
      <c r="G9" s="17"/>
      <c r="H9" s="17">
        <f>'Non-Rebalanced Portfolio'!H9</f>
        <v>9.68</v>
      </c>
      <c r="N9" s="50">
        <f>'4% Withdrawals-No Rebalancing'!N9</f>
        <v>1993</v>
      </c>
      <c r="O9" s="51">
        <f>'4% Withdrawals-No Rebalancing'!O9</f>
        <v>2.8000000000000001E-2</v>
      </c>
      <c r="P9" s="45"/>
    </row>
    <row r="10" spans="1:16" x14ac:dyDescent="0.3">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c r="N10" s="50">
        <f>'4% Withdrawals-No Rebalancing'!N10</f>
        <v>1994</v>
      </c>
      <c r="O10" s="51">
        <f>'4% Withdrawals-No Rebalancing'!O10</f>
        <v>2.5999999999999999E-2</v>
      </c>
      <c r="P10" s="45"/>
    </row>
    <row r="11" spans="1:16" x14ac:dyDescent="0.3">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c r="N11" s="50">
        <f>'4% Withdrawals-No Rebalancing'!N11</f>
        <v>1995</v>
      </c>
      <c r="O11" s="51">
        <f>'4% Withdrawals-No Rebalancing'!O11</f>
        <v>2.5000000000000001E-2</v>
      </c>
      <c r="P11" s="45"/>
    </row>
    <row r="12" spans="1:16" x14ac:dyDescent="0.3">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c r="N12" s="50">
        <f>'4% Withdrawals-No Rebalancing'!N12</f>
        <v>1996</v>
      </c>
      <c r="O12" s="51">
        <f>'4% Withdrawals-No Rebalancing'!O12</f>
        <v>3.4000000000000002E-2</v>
      </c>
      <c r="P12" s="45"/>
    </row>
    <row r="13" spans="1:16" x14ac:dyDescent="0.3">
      <c r="A13" s="17">
        <f>'Non-Rebalanced Portfolio'!A13</f>
        <v>1997</v>
      </c>
      <c r="B13" s="17">
        <f>'Non-Rebalanced Portfolio'!B13</f>
        <v>33.19</v>
      </c>
      <c r="C13" s="17">
        <f>'Non-Rebalanced Portfolio'!C13</f>
        <v>26.687000000000001</v>
      </c>
      <c r="D13" s="17"/>
      <c r="E13" s="17"/>
      <c r="F13" s="17"/>
      <c r="G13" s="17">
        <f>'Non-Rebalanced Portfolio'!G13</f>
        <v>-0.77500000000000002</v>
      </c>
      <c r="H13" s="17">
        <f>'Non-Rebalanced Portfolio'!H13</f>
        <v>9.44</v>
      </c>
      <c r="N13" s="50">
        <f>'4% Withdrawals-No Rebalancing'!N13</f>
        <v>1997</v>
      </c>
      <c r="O13" s="51">
        <f>'4% Withdrawals-No Rebalancing'!O13</f>
        <v>1.7000000000000001E-2</v>
      </c>
      <c r="P13" s="45"/>
    </row>
    <row r="14" spans="1:16" x14ac:dyDescent="0.3">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c r="N14" s="50">
        <f>'4% Withdrawals-No Rebalancing'!N14</f>
        <v>1998</v>
      </c>
      <c r="O14" s="51">
        <f>'4% Withdrawals-No Rebalancing'!O14</f>
        <v>1.6E-2</v>
      </c>
      <c r="P14" s="45"/>
    </row>
    <row r="15" spans="1:16" x14ac:dyDescent="0.3">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50">
        <f>'4% Withdrawals-No Rebalancing'!N15</f>
        <v>1999</v>
      </c>
      <c r="O15" s="51">
        <f>'4% Withdrawals-No Rebalancing'!O15</f>
        <v>2.7E-2</v>
      </c>
      <c r="P15" s="45"/>
    </row>
    <row r="16" spans="1:16" x14ac:dyDescent="0.3">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50">
        <f>'4% Withdrawals-No Rebalancing'!N16</f>
        <v>2000</v>
      </c>
      <c r="O16" s="51">
        <f>'4% Withdrawals-No Rebalancing'!O16</f>
        <v>3.4000000000000002E-2</v>
      </c>
      <c r="P16" s="45"/>
    </row>
    <row r="17" spans="1:16" x14ac:dyDescent="0.3">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50">
        <f>'4% Withdrawals-No Rebalancing'!N17</f>
        <v>2001</v>
      </c>
      <c r="O17" s="51">
        <f>'4% Withdrawals-No Rebalancing'!O17</f>
        <v>1.6E-2</v>
      </c>
      <c r="P17" s="45"/>
    </row>
    <row r="18" spans="1:16" x14ac:dyDescent="0.3">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50">
        <f>'4% Withdrawals-No Rebalancing'!N18</f>
        <v>2002</v>
      </c>
      <c r="O18" s="51">
        <f>'4% Withdrawals-No Rebalancing'!O18</f>
        <v>2.5000000000000001E-2</v>
      </c>
      <c r="P18" s="45"/>
    </row>
    <row r="19" spans="1:16" x14ac:dyDescent="0.3">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50">
        <f>'4% Withdrawals-No Rebalancing'!N19</f>
        <v>2003</v>
      </c>
      <c r="O19" s="51">
        <f>'4% Withdrawals-No Rebalancing'!O19</f>
        <v>0.02</v>
      </c>
      <c r="P19" s="45"/>
    </row>
    <row r="20" spans="1:16" x14ac:dyDescent="0.3">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50">
        <f>'4% Withdrawals-No Rebalancing'!N20</f>
        <v>2004</v>
      </c>
      <c r="O20" s="51">
        <f>'4% Withdrawals-No Rebalancing'!O20</f>
        <v>3.3000000000000002E-2</v>
      </c>
      <c r="P20" s="45"/>
    </row>
    <row r="21" spans="1:16" x14ac:dyDescent="0.3">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50">
        <f>'4% Withdrawals-No Rebalancing'!N21</f>
        <v>2005</v>
      </c>
      <c r="O21" s="51">
        <f>'4% Withdrawals-No Rebalancing'!O21</f>
        <v>3.3000000000000002E-2</v>
      </c>
      <c r="P21" s="45"/>
    </row>
    <row r="22" spans="1:16" x14ac:dyDescent="0.3">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50">
        <f>'4% Withdrawals-No Rebalancing'!N22</f>
        <v>2006</v>
      </c>
      <c r="O22" s="51">
        <f>'4% Withdrawals-No Rebalancing'!O22</f>
        <v>2.5000000000000001E-2</v>
      </c>
      <c r="P22" s="45"/>
    </row>
    <row r="23" spans="1:16" x14ac:dyDescent="0.3">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50">
        <f>'4% Withdrawals-No Rebalancing'!N23</f>
        <v>2007</v>
      </c>
      <c r="O23" s="51">
        <f>'4% Withdrawals-No Rebalancing'!O23</f>
        <v>4.1000000000000002E-2</v>
      </c>
      <c r="P23" s="45"/>
    </row>
    <row r="24" spans="1:16" x14ac:dyDescent="0.3">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50">
        <f>'4% Withdrawals-No Rebalancing'!N24</f>
        <v>2008</v>
      </c>
      <c r="O24" s="51">
        <f>'4% Withdrawals-No Rebalancing'!O24</f>
        <v>0</v>
      </c>
      <c r="P24" s="45"/>
    </row>
    <row r="25" spans="1:16" x14ac:dyDescent="0.3">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50">
        <f>'4% Withdrawals-No Rebalancing'!N25</f>
        <v>2009</v>
      </c>
      <c r="O25" s="51">
        <f>'4% Withdrawals-No Rebalancing'!O25</f>
        <v>2.8000000000000001E-2</v>
      </c>
      <c r="P25" s="45"/>
    </row>
    <row r="26" spans="1:16" x14ac:dyDescent="0.3">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50">
        <f>'4% Withdrawals-No Rebalancing'!N26</f>
        <v>2010</v>
      </c>
      <c r="O26" s="51">
        <f>'4% Withdrawals-No Rebalancing'!O26</f>
        <v>1.4E-2</v>
      </c>
      <c r="P26" s="45"/>
    </row>
    <row r="27" spans="1:16" x14ac:dyDescent="0.3">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50">
        <f>'4% Withdrawals-No Rebalancing'!N27</f>
        <v>2011</v>
      </c>
      <c r="O27" s="51">
        <f>'4% Withdrawals-No Rebalancing'!O27</f>
        <v>0.03</v>
      </c>
    </row>
    <row r="28" spans="1:16" x14ac:dyDescent="0.3">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c r="N28" s="50">
        <f>'4% Withdrawals-No Rebalancing'!N28</f>
        <v>2012</v>
      </c>
      <c r="O28" s="51">
        <f>'4% Withdrawals-No Rebalancing'!O28</f>
        <v>1.7999999999999999E-2</v>
      </c>
    </row>
    <row r="29" spans="1:16" x14ac:dyDescent="0.3">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c r="N29" s="50">
        <f>'4% Withdrawals-No Rebalancing'!N29</f>
        <v>2013</v>
      </c>
      <c r="O29" s="51">
        <f>'4% Withdrawals-No Rebalancing'!O29</f>
        <v>1.15559170535223E-2</v>
      </c>
    </row>
    <row r="30" spans="1:16" x14ac:dyDescent="0.3">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c r="N30" s="50">
        <f>'4% Withdrawals-No Rebalancing'!N30</f>
        <v>2014</v>
      </c>
      <c r="O30" s="51">
        <f>'4% Withdrawals-No Rebalancing'!O30</f>
        <v>1.29E-2</v>
      </c>
    </row>
    <row r="31" spans="1:16" x14ac:dyDescent="0.3">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c r="N31" s="50">
        <f>'4% Withdrawals-No Rebalancing'!N31</f>
        <v>2015</v>
      </c>
      <c r="O31" s="51">
        <f>'4% Withdrawals-No Rebalancing'!O31</f>
        <v>4.4000000000000003E-3</v>
      </c>
    </row>
    <row r="34" spans="1:65" x14ac:dyDescent="0.3">
      <c r="A34" s="20" t="s">
        <v>120</v>
      </c>
      <c r="N34" s="20" t="s">
        <v>27</v>
      </c>
      <c r="R34" s="20" t="s">
        <v>121</v>
      </c>
      <c r="AG34" s="20" t="s">
        <v>122</v>
      </c>
      <c r="AS34" s="20" t="s">
        <v>7</v>
      </c>
      <c r="BC34" s="20" t="s">
        <v>123</v>
      </c>
    </row>
    <row r="35" spans="1:65" x14ac:dyDescent="0.3">
      <c r="B35" s="4" t="str">
        <f t="shared" ref="B35:H36" si="0">B2</f>
        <v>LC Stocks</v>
      </c>
      <c r="C35" s="4" t="str">
        <f t="shared" si="0"/>
        <v>Ext Mkt</v>
      </c>
      <c r="D35" s="4" t="str">
        <f t="shared" si="0"/>
        <v>Mcap Stk</v>
      </c>
      <c r="E35" s="4" t="str">
        <f t="shared" si="0"/>
        <v>Small Cap</v>
      </c>
      <c r="F35" s="4" t="str">
        <f t="shared" si="0"/>
        <v>Intl Val</v>
      </c>
      <c r="G35" s="4" t="str">
        <f t="shared" si="0"/>
        <v>Tot Int Stk</v>
      </c>
      <c r="H35" s="4" t="str">
        <f t="shared" si="0"/>
        <v>Bonds</v>
      </c>
      <c r="I35" s="5"/>
      <c r="J35" s="5" t="s">
        <v>80</v>
      </c>
      <c r="K35" s="5" t="s">
        <v>77</v>
      </c>
      <c r="L35" s="5" t="s">
        <v>78</v>
      </c>
      <c r="S35" s="4" t="str">
        <f t="shared" ref="S35:Y35" si="1">B35</f>
        <v>LC Stocks</v>
      </c>
      <c r="T35" s="4" t="str">
        <f t="shared" si="1"/>
        <v>Ext Mkt</v>
      </c>
      <c r="U35" s="4" t="str">
        <f t="shared" si="1"/>
        <v>Mcap Stk</v>
      </c>
      <c r="V35" s="4" t="str">
        <f t="shared" si="1"/>
        <v>Small Cap</v>
      </c>
      <c r="W35" s="4" t="str">
        <f t="shared" si="1"/>
        <v>Intl Val</v>
      </c>
      <c r="X35" s="4" t="str">
        <f t="shared" si="1"/>
        <v>Tot Int Stk</v>
      </c>
      <c r="Y35" s="4" t="str">
        <f t="shared" si="1"/>
        <v>Bonds</v>
      </c>
      <c r="Z35" s="5"/>
      <c r="AA35" s="5" t="s">
        <v>80</v>
      </c>
      <c r="AB35" s="5" t="s">
        <v>77</v>
      </c>
      <c r="AC35" s="5" t="s">
        <v>78</v>
      </c>
      <c r="AD35" s="5" t="s">
        <v>92</v>
      </c>
      <c r="AE35" s="5"/>
      <c r="AH35" s="4" t="str">
        <f t="shared" ref="AH35:AN36" si="2">B35</f>
        <v>LC Stocks</v>
      </c>
      <c r="AI35" s="4" t="str">
        <f t="shared" si="2"/>
        <v>Ext Mkt</v>
      </c>
      <c r="AJ35" s="4" t="str">
        <f t="shared" si="2"/>
        <v>Mcap Stk</v>
      </c>
      <c r="AK35" s="4" t="str">
        <f t="shared" si="2"/>
        <v>Small Cap</v>
      </c>
      <c r="AL35" s="4" t="str">
        <f t="shared" si="2"/>
        <v>Intl Val</v>
      </c>
      <c r="AM35" s="4" t="str">
        <f t="shared" si="2"/>
        <v>Tot Int Stk</v>
      </c>
      <c r="AN35" s="4" t="str">
        <f t="shared" si="2"/>
        <v>Bonds</v>
      </c>
      <c r="AO35" s="5"/>
      <c r="AP35" s="5" t="s">
        <v>115</v>
      </c>
      <c r="AQ35" s="5" t="s">
        <v>116</v>
      </c>
      <c r="AT35" s="4" t="str">
        <f t="shared" ref="AT35:AZ37" si="3">AH35</f>
        <v>LC Stocks</v>
      </c>
      <c r="AU35" s="4" t="str">
        <f t="shared" si="3"/>
        <v>Ext Mkt</v>
      </c>
      <c r="AV35" s="4" t="str">
        <f t="shared" si="3"/>
        <v>Mcap Stk</v>
      </c>
      <c r="AW35" s="4" t="str">
        <f t="shared" si="3"/>
        <v>Small Cap</v>
      </c>
      <c r="AX35" s="4" t="str">
        <f t="shared" si="3"/>
        <v>Intl Val</v>
      </c>
      <c r="AY35" s="4" t="str">
        <f t="shared" si="3"/>
        <v>Tot Int Stk</v>
      </c>
      <c r="AZ35" s="4" t="str">
        <f t="shared" si="3"/>
        <v>Bonds</v>
      </c>
      <c r="BA35" s="5"/>
      <c r="BD35" s="4" t="str">
        <f>AT35</f>
        <v>LC Stocks</v>
      </c>
      <c r="BE35" s="4" t="str">
        <f t="shared" ref="BE35:BK37" si="4">AU35</f>
        <v>Ext Mkt</v>
      </c>
      <c r="BF35" s="4" t="str">
        <f t="shared" si="4"/>
        <v>Mcap Stk</v>
      </c>
      <c r="BG35" s="4" t="str">
        <f t="shared" si="4"/>
        <v>Small Cap</v>
      </c>
      <c r="BH35" s="4" t="str">
        <f t="shared" si="4"/>
        <v>Intl Val</v>
      </c>
      <c r="BI35" s="4" t="str">
        <f t="shared" si="4"/>
        <v>Tot Int Stk</v>
      </c>
      <c r="BJ35" s="4" t="str">
        <f t="shared" si="4"/>
        <v>Bonds</v>
      </c>
      <c r="BK35" s="4"/>
      <c r="BL35" t="s">
        <v>92</v>
      </c>
    </row>
    <row r="36" spans="1:65" x14ac:dyDescent="0.3">
      <c r="A36" t="s">
        <v>76</v>
      </c>
      <c r="B36" s="4" t="str">
        <f t="shared" si="0"/>
        <v>VFINX</v>
      </c>
      <c r="C36" s="4" t="str">
        <f t="shared" si="0"/>
        <v>VEXMX</v>
      </c>
      <c r="D36" s="4" t="str">
        <f t="shared" si="0"/>
        <v>VIMSX</v>
      </c>
      <c r="E36" s="4" t="str">
        <f t="shared" si="0"/>
        <v>NAESX</v>
      </c>
      <c r="F36" s="4" t="str">
        <f t="shared" si="0"/>
        <v>VTRIX</v>
      </c>
      <c r="G36" s="4" t="str">
        <f t="shared" si="0"/>
        <v>VGTSX</v>
      </c>
      <c r="H36" s="4" t="str">
        <f t="shared" si="0"/>
        <v>VBMFX</v>
      </c>
      <c r="I36" s="5" t="s">
        <v>74</v>
      </c>
      <c r="J36" s="5" t="s">
        <v>81</v>
      </c>
      <c r="K36" s="5" t="s">
        <v>79</v>
      </c>
      <c r="L36" s="5" t="s">
        <v>79</v>
      </c>
      <c r="R36" t="str">
        <f>A36</f>
        <v>Fund</v>
      </c>
      <c r="S36" s="4" t="str">
        <f t="shared" ref="S36:Z37" si="5">B36</f>
        <v>VFINX</v>
      </c>
      <c r="T36" s="4" t="str">
        <f t="shared" si="5"/>
        <v>VEXMX</v>
      </c>
      <c r="U36" s="4" t="str">
        <f t="shared" si="5"/>
        <v>VIMSX</v>
      </c>
      <c r="V36" s="4" t="str">
        <f t="shared" si="5"/>
        <v>NAESX</v>
      </c>
      <c r="W36" s="4" t="str">
        <f t="shared" si="5"/>
        <v>VTRIX</v>
      </c>
      <c r="X36" s="4" t="str">
        <f t="shared" si="5"/>
        <v>VGTSX</v>
      </c>
      <c r="Y36" s="4" t="str">
        <f t="shared" si="5"/>
        <v>VBMFX</v>
      </c>
      <c r="Z36" s="5" t="str">
        <f t="shared" si="5"/>
        <v>Total</v>
      </c>
      <c r="AA36" s="5" t="s">
        <v>81</v>
      </c>
      <c r="AB36" s="5" t="s">
        <v>79</v>
      </c>
      <c r="AC36" s="5" t="s">
        <v>79</v>
      </c>
      <c r="AD36" s="5" t="s">
        <v>91</v>
      </c>
      <c r="AE36" s="5"/>
      <c r="AG36" t="s">
        <v>76</v>
      </c>
      <c r="AH36" s="4" t="str">
        <f t="shared" si="2"/>
        <v>VFINX</v>
      </c>
      <c r="AI36" s="4" t="str">
        <f t="shared" si="2"/>
        <v>VEXMX</v>
      </c>
      <c r="AJ36" s="4" t="str">
        <f t="shared" si="2"/>
        <v>VIMSX</v>
      </c>
      <c r="AK36" s="4" t="str">
        <f t="shared" si="2"/>
        <v>NAESX</v>
      </c>
      <c r="AL36" s="4" t="str">
        <f t="shared" si="2"/>
        <v>VTRIX</v>
      </c>
      <c r="AM36" s="4" t="str">
        <f t="shared" si="2"/>
        <v>VGTSX</v>
      </c>
      <c r="AN36" s="4" t="str">
        <f t="shared" si="2"/>
        <v>VBMFX</v>
      </c>
      <c r="AO36" s="5" t="s">
        <v>74</v>
      </c>
      <c r="AP36" s="5" t="s">
        <v>116</v>
      </c>
      <c r="AQ36" s="5" t="s">
        <v>91</v>
      </c>
      <c r="AS36" t="str">
        <f>AG36</f>
        <v>Fund</v>
      </c>
      <c r="AT36" s="4" t="str">
        <f t="shared" si="3"/>
        <v>VFINX</v>
      </c>
      <c r="AU36" s="4" t="str">
        <f t="shared" si="3"/>
        <v>VEXMX</v>
      </c>
      <c r="AV36" s="4" t="str">
        <f t="shared" si="3"/>
        <v>VIMSX</v>
      </c>
      <c r="AW36" s="4" t="str">
        <f t="shared" si="3"/>
        <v>NAESX</v>
      </c>
      <c r="AX36" s="4" t="str">
        <f t="shared" si="3"/>
        <v>VTRIX</v>
      </c>
      <c r="AY36" s="4" t="str">
        <f t="shared" si="3"/>
        <v>VGTSX</v>
      </c>
      <c r="AZ36" s="4" t="str">
        <f t="shared" si="3"/>
        <v>VBMFX</v>
      </c>
      <c r="BA36" s="4" t="str">
        <f>AO36</f>
        <v>Total</v>
      </c>
      <c r="BC36" t="s">
        <v>76</v>
      </c>
      <c r="BD36" s="4" t="str">
        <f>AT36</f>
        <v>VFINX</v>
      </c>
      <c r="BE36" s="4" t="str">
        <f t="shared" si="4"/>
        <v>VEXMX</v>
      </c>
      <c r="BF36" s="4" t="str">
        <f t="shared" si="4"/>
        <v>VIMSX</v>
      </c>
      <c r="BG36" s="4" t="str">
        <f t="shared" si="4"/>
        <v>NAESX</v>
      </c>
      <c r="BH36" s="4" t="str">
        <f t="shared" si="4"/>
        <v>VTRIX</v>
      </c>
      <c r="BI36" s="4" t="str">
        <f t="shared" si="4"/>
        <v>VGTSX</v>
      </c>
      <c r="BJ36" s="4" t="str">
        <f t="shared" si="4"/>
        <v>VBMFX</v>
      </c>
      <c r="BK36" s="4" t="str">
        <f t="shared" si="4"/>
        <v>Total</v>
      </c>
      <c r="BL36" t="s">
        <v>91</v>
      </c>
    </row>
    <row r="37" spans="1:65" x14ac:dyDescent="0.3">
      <c r="A37" t="s">
        <v>75</v>
      </c>
      <c r="B37" s="2">
        <v>20000</v>
      </c>
      <c r="C37" s="2">
        <v>30000</v>
      </c>
      <c r="F37" s="2">
        <v>20000</v>
      </c>
      <c r="H37" s="2">
        <v>30000</v>
      </c>
      <c r="I37" s="2">
        <f>SUM(B37:H37)</f>
        <v>100000</v>
      </c>
      <c r="N37" s="21"/>
      <c r="R37" t="str">
        <f>A37</f>
        <v>Stating Balance</v>
      </c>
      <c r="S37" s="2">
        <f>B37</f>
        <v>20000</v>
      </c>
      <c r="T37" s="2">
        <f t="shared" si="5"/>
        <v>30000</v>
      </c>
      <c r="U37" s="2">
        <f t="shared" si="5"/>
        <v>0</v>
      </c>
      <c r="V37" s="2">
        <f t="shared" si="5"/>
        <v>0</v>
      </c>
      <c r="W37" s="2">
        <f t="shared" si="5"/>
        <v>20000</v>
      </c>
      <c r="X37" s="2">
        <f t="shared" si="5"/>
        <v>0</v>
      </c>
      <c r="Y37" s="2">
        <f t="shared" si="5"/>
        <v>30000</v>
      </c>
      <c r="Z37" s="2">
        <f t="shared" si="5"/>
        <v>100000</v>
      </c>
      <c r="AD37" s="2"/>
      <c r="AE37" s="2"/>
      <c r="AG37" s="21" t="s">
        <v>90</v>
      </c>
      <c r="AH37" s="6">
        <f t="shared" ref="AH37:AH48" si="6">S37/$Z37</f>
        <v>0.2</v>
      </c>
      <c r="AI37" s="6">
        <f t="shared" ref="AI37:AI48" si="7">T37/$Z37</f>
        <v>0.3</v>
      </c>
      <c r="AJ37" s="23">
        <v>0.2</v>
      </c>
      <c r="AK37" s="23">
        <v>0.1</v>
      </c>
      <c r="AL37" s="6">
        <f>W37/$Z37</f>
        <v>0.2</v>
      </c>
      <c r="AM37" s="23">
        <v>0.2</v>
      </c>
      <c r="AN37" s="6">
        <f>Y37/$Z37</f>
        <v>0.3</v>
      </c>
      <c r="AO37" s="6">
        <f>Z37/$Z37</f>
        <v>1</v>
      </c>
      <c r="AP37" s="24"/>
      <c r="AR37" s="24"/>
      <c r="AS37" s="21" t="str">
        <f>AG37</f>
        <v>Target Allocation</v>
      </c>
      <c r="AT37" s="24">
        <f t="shared" si="3"/>
        <v>0.2</v>
      </c>
      <c r="AU37" s="24">
        <f t="shared" si="3"/>
        <v>0.3</v>
      </c>
      <c r="AV37" s="25">
        <f t="shared" si="3"/>
        <v>0.2</v>
      </c>
      <c r="AW37" s="25">
        <f t="shared" si="3"/>
        <v>0.1</v>
      </c>
      <c r="AX37" s="24">
        <f t="shared" si="3"/>
        <v>0.2</v>
      </c>
      <c r="AY37" s="25">
        <f t="shared" si="3"/>
        <v>0.2</v>
      </c>
      <c r="AZ37" s="24">
        <f t="shared" si="3"/>
        <v>0.3</v>
      </c>
      <c r="BA37" s="24">
        <f>AO37</f>
        <v>1</v>
      </c>
      <c r="BC37" s="21" t="str">
        <f>AS37</f>
        <v>Target Allocation</v>
      </c>
      <c r="BD37" s="24">
        <f>AT37</f>
        <v>0.2</v>
      </c>
      <c r="BE37" s="24">
        <f t="shared" si="4"/>
        <v>0.3</v>
      </c>
      <c r="BF37" s="25">
        <f t="shared" si="4"/>
        <v>0.2</v>
      </c>
      <c r="BG37" s="25">
        <f t="shared" si="4"/>
        <v>0.1</v>
      </c>
      <c r="BH37" s="24">
        <f t="shared" si="4"/>
        <v>0.2</v>
      </c>
      <c r="BI37" s="25">
        <f t="shared" si="4"/>
        <v>0.2</v>
      </c>
      <c r="BJ37" s="24">
        <f t="shared" si="4"/>
        <v>0.3</v>
      </c>
      <c r="BK37" s="24">
        <f t="shared" si="4"/>
        <v>1</v>
      </c>
      <c r="BL37" s="2"/>
    </row>
    <row r="38" spans="1:65" x14ac:dyDescent="0.3">
      <c r="A38">
        <f t="shared" ref="A38:A65" si="8">A4</f>
        <v>1988</v>
      </c>
      <c r="B38" s="2">
        <f>B37*(1+(B4/100))</f>
        <v>23243.999999999996</v>
      </c>
      <c r="C38" s="2">
        <f>C37*(1+(C4/100))</f>
        <v>35924.1</v>
      </c>
      <c r="D38" s="2"/>
      <c r="E38" s="2"/>
      <c r="F38" s="2">
        <f>F37*(1+(F4/100))</f>
        <v>23755.600000000002</v>
      </c>
      <c r="G38" s="2"/>
      <c r="H38" s="2">
        <f>H37*(1+(H4/100))</f>
        <v>32204.999999999996</v>
      </c>
      <c r="I38" s="2">
        <f>SUM(B38:H38)</f>
        <v>115128.7</v>
      </c>
      <c r="J38" s="2">
        <f>I38-I37</f>
        <v>15128.699999999997</v>
      </c>
      <c r="K38" s="6">
        <f>(J38/I37)</f>
        <v>0.15128699999999998</v>
      </c>
      <c r="L38" s="7">
        <f>K38+1</f>
        <v>1.1512869999999999</v>
      </c>
      <c r="N38">
        <f>A38</f>
        <v>1988</v>
      </c>
      <c r="O38" s="2">
        <f>I38*0.04</f>
        <v>4605.1480000000001</v>
      </c>
      <c r="P38" s="2"/>
      <c r="Q38" s="2"/>
      <c r="R38">
        <f>A38</f>
        <v>1988</v>
      </c>
      <c r="S38" s="2">
        <f>B38-($O38/4)</f>
        <v>22092.712999999996</v>
      </c>
      <c r="T38" s="2">
        <f>C38-($O38/4)</f>
        <v>34772.813000000002</v>
      </c>
      <c r="U38" s="2"/>
      <c r="V38" s="2"/>
      <c r="W38" s="2">
        <f t="shared" ref="W38:W46" si="9">F38-($O38/4)</f>
        <v>22604.313000000002</v>
      </c>
      <c r="X38" s="2"/>
      <c r="Y38" s="2">
        <f>H38-($O38/4)</f>
        <v>31053.712999999996</v>
      </c>
      <c r="Z38" s="2">
        <f>SUM(S38:Y38)</f>
        <v>110523.552</v>
      </c>
      <c r="AA38" s="2">
        <f>Z38-Z37</f>
        <v>10523.551999999996</v>
      </c>
      <c r="AB38" s="6">
        <f>(AA38/Z37)</f>
        <v>0.10523551999999996</v>
      </c>
      <c r="AC38" s="7">
        <f>AB38+1</f>
        <v>1.1052355199999999</v>
      </c>
      <c r="AD38" s="2">
        <f>Z38-(I38-O38)</f>
        <v>0</v>
      </c>
      <c r="AE38" s="2"/>
      <c r="AG38">
        <f>A38</f>
        <v>1988</v>
      </c>
      <c r="AH38" s="6">
        <f t="shared" si="6"/>
        <v>0.19989144938085229</v>
      </c>
      <c r="AI38" s="6">
        <f t="shared" si="7"/>
        <v>0.31461903251173112</v>
      </c>
      <c r="AJ38" s="7"/>
      <c r="AK38" s="7"/>
      <c r="AL38" s="6">
        <f>W38/$Z38</f>
        <v>0.20452032703400633</v>
      </c>
      <c r="AM38" s="7"/>
      <c r="AN38" s="6">
        <f>Y38/$Z38</f>
        <v>0.28096919107341028</v>
      </c>
      <c r="AO38" s="6">
        <f>SUM(AH38:AN38)</f>
        <v>1</v>
      </c>
      <c r="AP38" s="7">
        <f>SUM(AH38:AM38)</f>
        <v>0.71903080892658977</v>
      </c>
      <c r="AQ38" s="7">
        <f>AO38-(AP38+AN38)</f>
        <v>0</v>
      </c>
      <c r="AR38" s="24"/>
      <c r="AS38">
        <f>AG38</f>
        <v>1988</v>
      </c>
      <c r="AT38" s="1" t="b">
        <f>AND((S38/$Z38)&gt;0.15,(S38/$Z38)&lt;0.25)</f>
        <v>1</v>
      </c>
      <c r="AU38" s="1" t="b">
        <f>AND((T38/$Z38)&gt;0.25,(T38/$Z38)&lt;0.35)</f>
        <v>1</v>
      </c>
      <c r="AX38" s="1" t="b">
        <f t="shared" ref="AX38:AX46" si="10">AND((W38/$Z38)&gt;0.15,(W38/$Z38)&lt;0.25)</f>
        <v>1</v>
      </c>
      <c r="AZ38" s="1" t="b">
        <f>AND((Y38/$Z38)&gt;0.25,(Y38/$Z38)&lt;0.35)</f>
        <v>1</v>
      </c>
      <c r="BA38" s="1" t="b">
        <f>AND((Z38/$Z38)&gt;0.999,(Z38/$Z38)&lt;1.01)</f>
        <v>1</v>
      </c>
      <c r="BC38">
        <f>AS38</f>
        <v>1988</v>
      </c>
      <c r="BD38" s="2">
        <f>S38</f>
        <v>22092.712999999996</v>
      </c>
      <c r="BE38" s="2">
        <f>T38</f>
        <v>34772.813000000002</v>
      </c>
      <c r="BF38" s="2"/>
      <c r="BG38" s="2"/>
      <c r="BH38" s="2">
        <f t="shared" ref="BH38:BH45" si="11">W38</f>
        <v>22604.313000000002</v>
      </c>
      <c r="BI38" s="2"/>
      <c r="BJ38" s="2">
        <f>Y38</f>
        <v>31053.712999999996</v>
      </c>
      <c r="BK38" s="2">
        <f>Z38</f>
        <v>110523.552</v>
      </c>
      <c r="BL38" s="2">
        <f>SUM(BD38:BJ38)-Z38</f>
        <v>0</v>
      </c>
      <c r="BM38" s="2"/>
    </row>
    <row r="39" spans="1:65" x14ac:dyDescent="0.3">
      <c r="A39">
        <f t="shared" si="8"/>
        <v>1989</v>
      </c>
      <c r="B39" s="2">
        <f t="shared" ref="B39:B48" si="12">BD38*(1+(B5/100))</f>
        <v>29020.987796799996</v>
      </c>
      <c r="C39" s="2">
        <f t="shared" ref="C39:C48" si="13">BE38*(1+(C5/100))</f>
        <v>43151.670020480007</v>
      </c>
      <c r="D39" s="2"/>
      <c r="E39" s="2"/>
      <c r="F39" s="2">
        <f t="shared" ref="F39:F46" si="14">BH38*(1+(F5/100))</f>
        <v>28474.879129230005</v>
      </c>
      <c r="G39" s="2"/>
      <c r="H39" s="2">
        <f t="shared" ref="H39:H64" si="15">BJ38*(1+(H5/100))</f>
        <v>35289.439453200001</v>
      </c>
      <c r="I39" s="2">
        <f>SUM(B39:H39)</f>
        <v>135936.97639970999</v>
      </c>
      <c r="J39" s="2">
        <f t="shared" ref="J39:J62" si="16">I39-I38</f>
        <v>20808.276399709997</v>
      </c>
      <c r="K39" s="6">
        <f t="shared" ref="K39:K62" si="17">(J39/I38)</f>
        <v>0.18073926310042585</v>
      </c>
      <c r="L39" s="7">
        <f t="shared" ref="L39:L62" si="18">K39+1</f>
        <v>1.1807392631004259</v>
      </c>
      <c r="N39">
        <f t="shared" ref="N39:N62" si="19">A39</f>
        <v>1989</v>
      </c>
      <c r="O39" s="2">
        <f t="shared" ref="O39:O65" si="20">O38*(1+O5)</f>
        <v>4816.9848080000002</v>
      </c>
      <c r="P39" s="2"/>
      <c r="Q39" s="2"/>
      <c r="R39">
        <f t="shared" ref="R39:R62" si="21">A39</f>
        <v>1989</v>
      </c>
      <c r="S39" s="2">
        <f t="shared" ref="S39:T47" si="22">B39-($O39/4)</f>
        <v>27816.741594799998</v>
      </c>
      <c r="T39" s="2">
        <f t="shared" si="22"/>
        <v>41947.423818480005</v>
      </c>
      <c r="U39" s="2"/>
      <c r="V39" s="2"/>
      <c r="W39" s="2">
        <f t="shared" si="9"/>
        <v>27270.632927230006</v>
      </c>
      <c r="X39" s="2"/>
      <c r="Y39" s="2">
        <f t="shared" ref="Y39:Y47" si="23">H39-($O39/4)</f>
        <v>34085.193251199998</v>
      </c>
      <c r="Z39" s="2">
        <f t="shared" ref="Z39:Z62" si="24">SUM(S39:Y39)</f>
        <v>131119.99159171002</v>
      </c>
      <c r="AA39" s="2">
        <f t="shared" ref="AA39:AA53" si="25">Z39-Z38</f>
        <v>20596.439591710019</v>
      </c>
      <c r="AB39" s="6">
        <f t="shared" ref="AB39:AB53" si="26">(AA39/Z38)</f>
        <v>0.18635339906294379</v>
      </c>
      <c r="AC39" s="7">
        <f t="shared" ref="AC39:AC62" si="27">AB39+1</f>
        <v>1.1863533990629438</v>
      </c>
      <c r="AD39" s="2">
        <f t="shared" ref="AD39:AD62" si="28">Z39-(I39-O39)</f>
        <v>0</v>
      </c>
      <c r="AE39" s="2"/>
      <c r="AG39">
        <f t="shared" ref="AG39:AG62" si="29">A39</f>
        <v>1989</v>
      </c>
      <c r="AH39" s="6">
        <f t="shared" si="6"/>
        <v>0.21214721917781679</v>
      </c>
      <c r="AI39" s="6">
        <f t="shared" si="7"/>
        <v>0.3199163095517778</v>
      </c>
      <c r="AJ39" s="7"/>
      <c r="AK39" s="7"/>
      <c r="AL39" s="6">
        <f t="shared" ref="AL39:AM54" si="30">W39/$Z39</f>
        <v>0.20798226568033257</v>
      </c>
      <c r="AM39" s="7"/>
      <c r="AN39" s="6">
        <f t="shared" ref="AN39:AN62" si="31">Y39/$Z39</f>
        <v>0.25995420559007276</v>
      </c>
      <c r="AO39" s="6">
        <f t="shared" ref="AO39:AO62" si="32">SUM(AH39:AN39)</f>
        <v>1</v>
      </c>
      <c r="AP39" s="7">
        <f t="shared" ref="AP39:AP62" si="33">SUM(AH39:AM39)</f>
        <v>0.74004579440992724</v>
      </c>
      <c r="AQ39" s="7">
        <f t="shared" ref="AQ39:AQ62" si="34">AO39-(AP39+AN39)</f>
        <v>0</v>
      </c>
      <c r="AR39" s="24"/>
      <c r="AS39">
        <f t="shared" ref="AS39:AS62" si="35">AG39</f>
        <v>1989</v>
      </c>
      <c r="AT39" s="1" t="b">
        <f t="shared" ref="AT39:AT62" si="36">AND((S39/$Z39)&gt;0.15,(S39/$Z39)&lt;0.25)</f>
        <v>1</v>
      </c>
      <c r="AU39" s="1" t="b">
        <f t="shared" ref="AU39:AU48" si="37">AND((T39/$Z39)&gt;0.25,(T39/$Z39)&lt;0.35)</f>
        <v>1</v>
      </c>
      <c r="AX39" s="1" t="b">
        <f t="shared" si="10"/>
        <v>1</v>
      </c>
      <c r="AZ39" s="1" t="b">
        <f t="shared" ref="AZ39:AZ62" si="38">AND((Y39/$Z39)&gt;0.25,(Y39/$Z39)&lt;0.35)</f>
        <v>1</v>
      </c>
      <c r="BA39" s="1" t="b">
        <f t="shared" ref="BA39:BA62" si="39">AND((Z39/$Z39)&gt;0.999,(Z39/$Z39)&lt;1.01)</f>
        <v>1</v>
      </c>
      <c r="BC39">
        <f t="shared" ref="BC39:BC62" si="40">AS39</f>
        <v>1989</v>
      </c>
      <c r="BD39" s="2">
        <f t="shared" ref="BD39:BD62" si="41">S39</f>
        <v>27816.741594799998</v>
      </c>
      <c r="BE39" s="2">
        <f t="shared" ref="BE39:BE47" si="42">T39</f>
        <v>41947.423818480005</v>
      </c>
      <c r="BF39" s="2"/>
      <c r="BG39" s="2"/>
      <c r="BH39" s="2">
        <f t="shared" si="11"/>
        <v>27270.632927230006</v>
      </c>
      <c r="BI39" s="2"/>
      <c r="BJ39" s="2">
        <f>Y39</f>
        <v>34085.193251199998</v>
      </c>
      <c r="BK39" s="2">
        <f t="shared" ref="BK39:BK62" si="43">Z39</f>
        <v>131119.99159171002</v>
      </c>
      <c r="BL39" s="2">
        <f t="shared" ref="BL39:BL62" si="44">SUM(BD39:BJ39)-Z39</f>
        <v>0</v>
      </c>
      <c r="BM39" s="2"/>
    </row>
    <row r="40" spans="1:65" x14ac:dyDescent="0.3">
      <c r="A40">
        <f t="shared" si="8"/>
        <v>1990</v>
      </c>
      <c r="B40" s="2">
        <f t="shared" si="12"/>
        <v>26893.225773852639</v>
      </c>
      <c r="C40" s="2">
        <f t="shared" si="13"/>
        <v>36055.908143174493</v>
      </c>
      <c r="D40" s="2"/>
      <c r="E40" s="2"/>
      <c r="F40" s="2">
        <f t="shared" si="14"/>
        <v>23927.253330351607</v>
      </c>
      <c r="G40" s="2"/>
      <c r="H40" s="2">
        <f t="shared" si="15"/>
        <v>37033.562467428797</v>
      </c>
      <c r="I40" s="2">
        <f t="shared" ref="I40:I62" si="45">SUM(B40:H40)</f>
        <v>123909.94971480753</v>
      </c>
      <c r="J40" s="2">
        <f t="shared" si="16"/>
        <v>-12027.026684902463</v>
      </c>
      <c r="K40" s="6">
        <f t="shared" si="17"/>
        <v>-8.8475019846977573E-2</v>
      </c>
      <c r="L40" s="7">
        <f t="shared" si="18"/>
        <v>0.91152498015302241</v>
      </c>
      <c r="N40">
        <f t="shared" si="19"/>
        <v>1990</v>
      </c>
      <c r="O40" s="2">
        <f t="shared" si="20"/>
        <v>5120.4548509039996</v>
      </c>
      <c r="P40" s="2"/>
      <c r="Q40" s="2"/>
      <c r="R40">
        <f t="shared" si="21"/>
        <v>1990</v>
      </c>
      <c r="S40" s="2">
        <f t="shared" si="22"/>
        <v>25613.112061126638</v>
      </c>
      <c r="T40" s="2">
        <f t="shared" si="22"/>
        <v>34775.794430448492</v>
      </c>
      <c r="U40" s="2"/>
      <c r="V40" s="2"/>
      <c r="W40" s="2">
        <f t="shared" si="9"/>
        <v>22647.139617625606</v>
      </c>
      <c r="X40" s="2"/>
      <c r="Y40" s="2">
        <f t="shared" si="23"/>
        <v>35753.448754702797</v>
      </c>
      <c r="Z40" s="2">
        <f t="shared" si="24"/>
        <v>118789.49486390353</v>
      </c>
      <c r="AA40" s="2">
        <f t="shared" si="25"/>
        <v>-12330.496727806487</v>
      </c>
      <c r="AB40" s="6">
        <f t="shared" si="26"/>
        <v>-9.4039791935023848E-2</v>
      </c>
      <c r="AC40" s="7">
        <f t="shared" si="27"/>
        <v>0.90596020806497612</v>
      </c>
      <c r="AD40" s="2">
        <f t="shared" si="28"/>
        <v>0</v>
      </c>
      <c r="AE40" s="2"/>
      <c r="AG40">
        <f t="shared" si="29"/>
        <v>1990</v>
      </c>
      <c r="AH40" s="6">
        <f t="shared" si="6"/>
        <v>0.21561765281072573</v>
      </c>
      <c r="AI40" s="6">
        <f t="shared" si="7"/>
        <v>0.29275142949543587</v>
      </c>
      <c r="AJ40" s="7"/>
      <c r="AK40" s="7"/>
      <c r="AL40" s="6">
        <f t="shared" si="30"/>
        <v>0.19064934692728772</v>
      </c>
      <c r="AM40" s="7"/>
      <c r="AN40" s="6">
        <f t="shared" si="31"/>
        <v>0.30098157076655074</v>
      </c>
      <c r="AO40" s="6">
        <f t="shared" si="32"/>
        <v>1</v>
      </c>
      <c r="AP40" s="7">
        <f t="shared" si="33"/>
        <v>0.69901842923344937</v>
      </c>
      <c r="AQ40" s="7">
        <f t="shared" si="34"/>
        <v>0</v>
      </c>
      <c r="AR40" s="24"/>
      <c r="AS40">
        <f t="shared" si="35"/>
        <v>1990</v>
      </c>
      <c r="AT40" s="1" t="b">
        <f t="shared" si="36"/>
        <v>1</v>
      </c>
      <c r="AU40" s="1" t="b">
        <f t="shared" si="37"/>
        <v>1</v>
      </c>
      <c r="AX40" s="1" t="b">
        <f t="shared" si="10"/>
        <v>1</v>
      </c>
      <c r="AZ40" s="1" t="b">
        <f t="shared" si="38"/>
        <v>1</v>
      </c>
      <c r="BA40" s="1" t="b">
        <f t="shared" si="39"/>
        <v>1</v>
      </c>
      <c r="BC40">
        <f t="shared" si="40"/>
        <v>1990</v>
      </c>
      <c r="BD40" s="2">
        <f t="shared" si="41"/>
        <v>25613.112061126638</v>
      </c>
      <c r="BE40" s="2">
        <f t="shared" si="42"/>
        <v>34775.794430448492</v>
      </c>
      <c r="BF40" s="2"/>
      <c r="BG40" s="2"/>
      <c r="BH40" s="2">
        <f t="shared" si="11"/>
        <v>22647.139617625606</v>
      </c>
      <c r="BI40" s="2"/>
      <c r="BJ40" s="2">
        <f>Y40</f>
        <v>35753.448754702797</v>
      </c>
      <c r="BK40" s="2">
        <f t="shared" si="43"/>
        <v>118789.49486390353</v>
      </c>
      <c r="BL40" s="2">
        <f t="shared" si="44"/>
        <v>0</v>
      </c>
      <c r="BM40" s="2"/>
    </row>
    <row r="41" spans="1:65" x14ac:dyDescent="0.3">
      <c r="A41">
        <f t="shared" si="8"/>
        <v>1991</v>
      </c>
      <c r="B41" s="2">
        <f t="shared" si="12"/>
        <v>33353.394525999109</v>
      </c>
      <c r="C41" s="2">
        <f t="shared" si="13"/>
        <v>49329.46439959119</v>
      </c>
      <c r="D41" s="2"/>
      <c r="E41" s="2"/>
      <c r="F41" s="2">
        <f t="shared" si="14"/>
        <v>24901.888837956412</v>
      </c>
      <c r="G41" s="2"/>
      <c r="H41" s="2">
        <f t="shared" si="15"/>
        <v>41205.849689794974</v>
      </c>
      <c r="I41" s="2">
        <f t="shared" si="45"/>
        <v>148790.59745334167</v>
      </c>
      <c r="J41" s="2">
        <f t="shared" si="16"/>
        <v>24880.647738534142</v>
      </c>
      <c r="K41" s="6">
        <f t="shared" si="17"/>
        <v>0.20079620559769176</v>
      </c>
      <c r="L41" s="7">
        <f t="shared" si="18"/>
        <v>1.2007962055976917</v>
      </c>
      <c r="N41">
        <f t="shared" si="19"/>
        <v>1991</v>
      </c>
      <c r="O41" s="2">
        <f t="shared" si="20"/>
        <v>5274.0684964311195</v>
      </c>
      <c r="P41" s="2"/>
      <c r="Q41" s="2"/>
      <c r="R41">
        <f t="shared" si="21"/>
        <v>1991</v>
      </c>
      <c r="S41" s="2">
        <f t="shared" si="22"/>
        <v>32034.877401891328</v>
      </c>
      <c r="T41" s="2">
        <f t="shared" si="22"/>
        <v>48010.947275483413</v>
      </c>
      <c r="U41" s="2"/>
      <c r="V41" s="2"/>
      <c r="W41" s="2">
        <f t="shared" si="9"/>
        <v>23583.371713848632</v>
      </c>
      <c r="X41" s="2"/>
      <c r="Y41" s="2">
        <f t="shared" si="23"/>
        <v>39887.332565687197</v>
      </c>
      <c r="Z41" s="2">
        <f t="shared" si="24"/>
        <v>143516.52895691057</v>
      </c>
      <c r="AA41" s="2">
        <f t="shared" si="25"/>
        <v>24727.034093007038</v>
      </c>
      <c r="AB41" s="6">
        <f t="shared" si="26"/>
        <v>0.2081584244577912</v>
      </c>
      <c r="AC41" s="7">
        <f t="shared" si="27"/>
        <v>1.2081584244577912</v>
      </c>
      <c r="AD41" s="2">
        <f t="shared" si="28"/>
        <v>0</v>
      </c>
      <c r="AE41" s="2"/>
      <c r="AG41">
        <f t="shared" si="29"/>
        <v>1991</v>
      </c>
      <c r="AH41" s="6">
        <f t="shared" si="6"/>
        <v>0.22321385302949659</v>
      </c>
      <c r="AI41" s="6">
        <f t="shared" si="7"/>
        <v>0.3345325282351152</v>
      </c>
      <c r="AJ41" s="7"/>
      <c r="AK41" s="7"/>
      <c r="AL41" s="6">
        <f t="shared" si="30"/>
        <v>0.16432512606913249</v>
      </c>
      <c r="AM41" s="7"/>
      <c r="AN41" s="6">
        <f t="shared" si="31"/>
        <v>0.27792849266625574</v>
      </c>
      <c r="AO41" s="6">
        <f t="shared" si="32"/>
        <v>1</v>
      </c>
      <c r="AP41" s="7">
        <f t="shared" si="33"/>
        <v>0.72207150733374426</v>
      </c>
      <c r="AQ41" s="7">
        <f t="shared" si="34"/>
        <v>0</v>
      </c>
      <c r="AR41" s="24"/>
      <c r="AS41">
        <f t="shared" si="35"/>
        <v>1991</v>
      </c>
      <c r="AT41" s="1" t="b">
        <f t="shared" si="36"/>
        <v>1</v>
      </c>
      <c r="AU41" s="1" t="b">
        <f t="shared" si="37"/>
        <v>1</v>
      </c>
      <c r="AX41" s="1" t="b">
        <f t="shared" si="10"/>
        <v>1</v>
      </c>
      <c r="AZ41" s="1" t="b">
        <f t="shared" si="38"/>
        <v>1</v>
      </c>
      <c r="BA41" s="1" t="b">
        <f t="shared" si="39"/>
        <v>1</v>
      </c>
      <c r="BC41">
        <f t="shared" si="40"/>
        <v>1991</v>
      </c>
      <c r="BD41" s="2">
        <f t="shared" si="41"/>
        <v>32034.877401891328</v>
      </c>
      <c r="BE41" s="2">
        <f t="shared" si="42"/>
        <v>48010.947275483413</v>
      </c>
      <c r="BF41" s="2"/>
      <c r="BG41" s="2"/>
      <c r="BH41" s="2">
        <f t="shared" si="11"/>
        <v>23583.371713848632</v>
      </c>
      <c r="BI41" s="2"/>
      <c r="BJ41" s="2">
        <f>Y41</f>
        <v>39887.332565687197</v>
      </c>
      <c r="BK41" s="2">
        <f t="shared" si="43"/>
        <v>143516.52895691057</v>
      </c>
      <c r="BL41" s="2">
        <f t="shared" si="44"/>
        <v>0</v>
      </c>
      <c r="BM41" s="2"/>
    </row>
    <row r="42" spans="1:65" x14ac:dyDescent="0.3">
      <c r="A42">
        <f t="shared" si="8"/>
        <v>1992</v>
      </c>
      <c r="B42" s="2">
        <f t="shared" si="12"/>
        <v>34411.865305111663</v>
      </c>
      <c r="C42" s="2">
        <f t="shared" si="13"/>
        <v>53995.991962845175</v>
      </c>
      <c r="D42" s="2"/>
      <c r="E42" s="2"/>
      <c r="F42" s="2">
        <f t="shared" si="14"/>
        <v>21526.665866683892</v>
      </c>
      <c r="G42" s="2"/>
      <c r="H42" s="2">
        <f t="shared" si="15"/>
        <v>42735.288110877256</v>
      </c>
      <c r="I42" s="2">
        <f t="shared" si="45"/>
        <v>152669.81124551798</v>
      </c>
      <c r="J42" s="2">
        <f t="shared" si="16"/>
        <v>3879.213792176306</v>
      </c>
      <c r="K42" s="6">
        <f t="shared" si="17"/>
        <v>2.607163260697817E-2</v>
      </c>
      <c r="L42" s="7">
        <f t="shared" si="18"/>
        <v>1.0260716326069781</v>
      </c>
      <c r="N42">
        <f t="shared" si="19"/>
        <v>1992</v>
      </c>
      <c r="O42" s="2">
        <f t="shared" si="20"/>
        <v>5432.290551324053</v>
      </c>
      <c r="P42" s="2"/>
      <c r="Q42" s="2"/>
      <c r="R42">
        <f t="shared" si="21"/>
        <v>1992</v>
      </c>
      <c r="S42" s="2">
        <f t="shared" si="22"/>
        <v>33053.79266728065</v>
      </c>
      <c r="T42" s="2">
        <f t="shared" si="22"/>
        <v>52637.919325014162</v>
      </c>
      <c r="U42" s="2"/>
      <c r="V42" s="2"/>
      <c r="W42" s="2">
        <f t="shared" si="9"/>
        <v>20168.593228852878</v>
      </c>
      <c r="X42" s="2"/>
      <c r="Y42" s="2">
        <f t="shared" si="23"/>
        <v>41377.215473046243</v>
      </c>
      <c r="Z42" s="2">
        <f t="shared" si="24"/>
        <v>147237.52069419393</v>
      </c>
      <c r="AA42" s="2">
        <f t="shared" si="25"/>
        <v>3720.9917372833588</v>
      </c>
      <c r="AB42" s="6">
        <f t="shared" si="26"/>
        <v>2.5927269592762727E-2</v>
      </c>
      <c r="AC42" s="7">
        <f t="shared" si="27"/>
        <v>1.0259272695927628</v>
      </c>
      <c r="AD42" s="2">
        <f t="shared" si="28"/>
        <v>0</v>
      </c>
      <c r="AE42" s="2"/>
      <c r="AG42">
        <f t="shared" si="29"/>
        <v>1992</v>
      </c>
      <c r="AH42" s="6">
        <f t="shared" si="6"/>
        <v>0.22449299955228105</v>
      </c>
      <c r="AI42" s="38">
        <f t="shared" si="7"/>
        <v>0.35750343442919608</v>
      </c>
      <c r="AJ42" s="7"/>
      <c r="AK42" s="7"/>
      <c r="AL42" s="38">
        <f t="shared" si="30"/>
        <v>0.13697998399974548</v>
      </c>
      <c r="AM42" s="7"/>
      <c r="AN42" s="6">
        <f t="shared" si="31"/>
        <v>0.28102358201877742</v>
      </c>
      <c r="AO42" s="6">
        <f t="shared" si="32"/>
        <v>1</v>
      </c>
      <c r="AP42" s="7">
        <f t="shared" si="33"/>
        <v>0.71897641798122258</v>
      </c>
      <c r="AQ42" s="7">
        <f t="shared" si="34"/>
        <v>0</v>
      </c>
      <c r="AR42" s="24"/>
      <c r="AS42">
        <f t="shared" si="35"/>
        <v>1992</v>
      </c>
      <c r="AT42" s="1" t="b">
        <f t="shared" si="36"/>
        <v>1</v>
      </c>
      <c r="AU42" s="39" t="b">
        <f t="shared" si="37"/>
        <v>0</v>
      </c>
      <c r="AX42" s="39" t="b">
        <f t="shared" si="10"/>
        <v>0</v>
      </c>
      <c r="AZ42" s="1" t="b">
        <f t="shared" si="38"/>
        <v>1</v>
      </c>
      <c r="BA42" s="1" t="b">
        <f t="shared" si="39"/>
        <v>1</v>
      </c>
      <c r="BC42">
        <f t="shared" si="40"/>
        <v>1992</v>
      </c>
      <c r="BD42" s="40">
        <f>$BK42*BD$37</f>
        <v>29447.504138838787</v>
      </c>
      <c r="BE42" s="40">
        <f>$BK42*BE$37</f>
        <v>44171.256208258179</v>
      </c>
      <c r="BF42" s="2"/>
      <c r="BG42" s="2"/>
      <c r="BH42" s="40">
        <f>$BK42*BH$37</f>
        <v>29447.504138838787</v>
      </c>
      <c r="BI42" s="2"/>
      <c r="BJ42" s="40">
        <f>$BK42*BJ$37</f>
        <v>44171.256208258179</v>
      </c>
      <c r="BK42" s="2">
        <f t="shared" si="43"/>
        <v>147237.52069419393</v>
      </c>
      <c r="BL42" s="2">
        <f t="shared" si="44"/>
        <v>0</v>
      </c>
      <c r="BM42" s="2"/>
    </row>
    <row r="43" spans="1:65" x14ac:dyDescent="0.3">
      <c r="A43">
        <f t="shared" si="8"/>
        <v>1993</v>
      </c>
      <c r="B43" s="2">
        <f t="shared" si="12"/>
        <v>32359.862298169945</v>
      </c>
      <c r="C43" s="2">
        <f t="shared" si="13"/>
        <v>50571.671232834793</v>
      </c>
      <c r="D43" s="2"/>
      <c r="E43" s="2"/>
      <c r="F43" s="2">
        <f t="shared" si="14"/>
        <v>38427.22605093629</v>
      </c>
      <c r="G43" s="2"/>
      <c r="H43" s="2">
        <f t="shared" si="15"/>
        <v>48447.033809217573</v>
      </c>
      <c r="I43" s="2">
        <f t="shared" si="45"/>
        <v>169805.7933911586</v>
      </c>
      <c r="J43" s="2">
        <f t="shared" si="16"/>
        <v>17135.982145640621</v>
      </c>
      <c r="K43" s="6">
        <f t="shared" si="17"/>
        <v>0.11224211260786301</v>
      </c>
      <c r="L43" s="7">
        <f t="shared" si="18"/>
        <v>1.112242112607863</v>
      </c>
      <c r="N43">
        <f t="shared" si="19"/>
        <v>1993</v>
      </c>
      <c r="O43" s="2">
        <f t="shared" si="20"/>
        <v>5584.3946867611266</v>
      </c>
      <c r="P43" s="2"/>
      <c r="Q43" s="2"/>
      <c r="R43">
        <f t="shared" si="21"/>
        <v>1993</v>
      </c>
      <c r="S43" s="2">
        <f t="shared" si="22"/>
        <v>30963.763626479664</v>
      </c>
      <c r="T43" s="2">
        <f t="shared" si="22"/>
        <v>49175.572561144509</v>
      </c>
      <c r="U43" s="2"/>
      <c r="V43" s="2"/>
      <c r="W43" s="2">
        <f t="shared" si="9"/>
        <v>37031.127379246005</v>
      </c>
      <c r="X43" s="2"/>
      <c r="Y43" s="2">
        <f t="shared" si="23"/>
        <v>47050.935137527289</v>
      </c>
      <c r="Z43" s="2">
        <f t="shared" si="24"/>
        <v>164221.39870439746</v>
      </c>
      <c r="AA43" s="2">
        <f t="shared" si="25"/>
        <v>16983.878010203538</v>
      </c>
      <c r="AB43" s="6">
        <f t="shared" si="26"/>
        <v>0.11535020373969983</v>
      </c>
      <c r="AC43" s="7">
        <f t="shared" si="27"/>
        <v>1.1153502037396998</v>
      </c>
      <c r="AD43" s="2">
        <f t="shared" si="28"/>
        <v>0</v>
      </c>
      <c r="AE43" s="2"/>
      <c r="AG43">
        <f t="shared" si="29"/>
        <v>1993</v>
      </c>
      <c r="AH43" s="6">
        <f t="shared" si="6"/>
        <v>0.18854889722511253</v>
      </c>
      <c r="AI43" s="6">
        <f t="shared" si="7"/>
        <v>0.2994468013858641</v>
      </c>
      <c r="AJ43" s="7"/>
      <c r="AK43" s="7"/>
      <c r="AL43" s="6">
        <f t="shared" si="30"/>
        <v>0.22549514053222103</v>
      </c>
      <c r="AM43" s="7"/>
      <c r="AN43" s="6">
        <f t="shared" si="31"/>
        <v>0.28650916085680239</v>
      </c>
      <c r="AO43" s="6">
        <f t="shared" si="32"/>
        <v>1</v>
      </c>
      <c r="AP43" s="7">
        <f t="shared" si="33"/>
        <v>0.71349083914319766</v>
      </c>
      <c r="AQ43" s="7">
        <f t="shared" si="34"/>
        <v>0</v>
      </c>
      <c r="AR43" s="24"/>
      <c r="AS43">
        <f t="shared" si="35"/>
        <v>1993</v>
      </c>
      <c r="AT43" s="1" t="b">
        <f t="shared" si="36"/>
        <v>1</v>
      </c>
      <c r="AU43" s="1" t="b">
        <f t="shared" si="37"/>
        <v>1</v>
      </c>
      <c r="AX43" s="1" t="b">
        <f t="shared" si="10"/>
        <v>1</v>
      </c>
      <c r="AZ43" s="1" t="b">
        <f t="shared" si="38"/>
        <v>1</v>
      </c>
      <c r="BA43" s="1" t="b">
        <f t="shared" si="39"/>
        <v>1</v>
      </c>
      <c r="BC43">
        <f t="shared" si="40"/>
        <v>1993</v>
      </c>
      <c r="BD43" s="2">
        <f t="shared" si="41"/>
        <v>30963.763626479664</v>
      </c>
      <c r="BE43" s="2">
        <f t="shared" si="42"/>
        <v>49175.572561144509</v>
      </c>
      <c r="BF43" s="2"/>
      <c r="BG43" s="2"/>
      <c r="BH43" s="2">
        <f t="shared" si="11"/>
        <v>37031.127379246005</v>
      </c>
      <c r="BI43" s="2"/>
      <c r="BJ43" s="2">
        <f>Y43</f>
        <v>47050.935137527289</v>
      </c>
      <c r="BK43" s="2">
        <f t="shared" si="43"/>
        <v>164221.39870439746</v>
      </c>
      <c r="BL43" s="2">
        <f t="shared" si="44"/>
        <v>0</v>
      </c>
      <c r="BM43" s="2"/>
    </row>
    <row r="44" spans="1:65" x14ac:dyDescent="0.3">
      <c r="A44">
        <f t="shared" si="8"/>
        <v>1994</v>
      </c>
      <c r="B44" s="2">
        <f t="shared" si="12"/>
        <v>31329.136037272125</v>
      </c>
      <c r="C44" s="2">
        <f t="shared" si="13"/>
        <v>48308.115461165922</v>
      </c>
      <c r="D44" s="2"/>
      <c r="E44" s="2"/>
      <c r="F44" s="2">
        <f t="shared" si="14"/>
        <v>38977.113123025389</v>
      </c>
      <c r="G44" s="2"/>
      <c r="H44" s="2">
        <f t="shared" si="15"/>
        <v>45799.380262869068</v>
      </c>
      <c r="I44" s="2">
        <f t="shared" si="45"/>
        <v>164413.7448843325</v>
      </c>
      <c r="J44" s="2">
        <f t="shared" si="16"/>
        <v>-5392.0485068261041</v>
      </c>
      <c r="K44" s="6">
        <f t="shared" si="17"/>
        <v>-3.1754208140620813E-2</v>
      </c>
      <c r="L44" s="7">
        <f t="shared" si="18"/>
        <v>0.9682457918593792</v>
      </c>
      <c r="N44">
        <f t="shared" si="19"/>
        <v>1994</v>
      </c>
      <c r="O44" s="2">
        <f t="shared" si="20"/>
        <v>5729.5889486169162</v>
      </c>
      <c r="P44" s="2"/>
      <c r="Q44" s="2"/>
      <c r="R44">
        <f t="shared" si="21"/>
        <v>1994</v>
      </c>
      <c r="S44" s="2">
        <f t="shared" si="22"/>
        <v>29896.738800117895</v>
      </c>
      <c r="T44" s="2">
        <f t="shared" si="22"/>
        <v>46875.718224011696</v>
      </c>
      <c r="U44" s="2"/>
      <c r="V44" s="2"/>
      <c r="W44" s="2">
        <f t="shared" si="9"/>
        <v>37544.715885871163</v>
      </c>
      <c r="X44" s="2"/>
      <c r="Y44" s="2">
        <f t="shared" si="23"/>
        <v>44366.983025714842</v>
      </c>
      <c r="Z44" s="2">
        <f t="shared" si="24"/>
        <v>158684.15593571559</v>
      </c>
      <c r="AA44" s="2">
        <f t="shared" si="25"/>
        <v>-5537.2427686818701</v>
      </c>
      <c r="AB44" s="6">
        <f t="shared" si="26"/>
        <v>-3.3718156174330501E-2</v>
      </c>
      <c r="AC44" s="7">
        <f t="shared" si="27"/>
        <v>0.96628184382566951</v>
      </c>
      <c r="AD44" s="2">
        <f t="shared" si="28"/>
        <v>0</v>
      </c>
      <c r="AE44" s="2"/>
      <c r="AG44">
        <f t="shared" si="29"/>
        <v>1994</v>
      </c>
      <c r="AH44" s="6">
        <f t="shared" si="6"/>
        <v>0.18840405725338666</v>
      </c>
      <c r="AI44" s="6">
        <f t="shared" si="7"/>
        <v>0.29540263769623903</v>
      </c>
      <c r="AJ44" s="7"/>
      <c r="AK44" s="7"/>
      <c r="AL44" s="6">
        <f t="shared" si="30"/>
        <v>0.23660028100777036</v>
      </c>
      <c r="AM44" s="7"/>
      <c r="AN44" s="6">
        <f t="shared" si="31"/>
        <v>0.27959302404260394</v>
      </c>
      <c r="AO44" s="6">
        <f t="shared" si="32"/>
        <v>1</v>
      </c>
      <c r="AP44" s="7">
        <f t="shared" si="33"/>
        <v>0.72040697595739611</v>
      </c>
      <c r="AQ44" s="7">
        <f t="shared" si="34"/>
        <v>0</v>
      </c>
      <c r="AR44" s="24"/>
      <c r="AS44">
        <f t="shared" si="35"/>
        <v>1994</v>
      </c>
      <c r="AT44" s="1" t="b">
        <f t="shared" si="36"/>
        <v>1</v>
      </c>
      <c r="AU44" s="1" t="b">
        <f t="shared" si="37"/>
        <v>1</v>
      </c>
      <c r="AX44" s="1" t="b">
        <f t="shared" si="10"/>
        <v>1</v>
      </c>
      <c r="AZ44" s="1" t="b">
        <f t="shared" si="38"/>
        <v>1</v>
      </c>
      <c r="BA44" s="1" t="b">
        <f t="shared" si="39"/>
        <v>1</v>
      </c>
      <c r="BC44">
        <f t="shared" si="40"/>
        <v>1994</v>
      </c>
      <c r="BD44" s="2">
        <f t="shared" si="41"/>
        <v>29896.738800117895</v>
      </c>
      <c r="BE44" s="2">
        <f t="shared" si="42"/>
        <v>46875.718224011696</v>
      </c>
      <c r="BF44" s="2"/>
      <c r="BG44" s="2"/>
      <c r="BH44" s="2">
        <f t="shared" si="11"/>
        <v>37544.715885871163</v>
      </c>
      <c r="BI44" s="2"/>
      <c r="BJ44" s="2">
        <f>Y44</f>
        <v>44366.983025714842</v>
      </c>
      <c r="BK44" s="2">
        <f t="shared" si="43"/>
        <v>158684.15593571559</v>
      </c>
      <c r="BL44" s="2">
        <f t="shared" si="44"/>
        <v>0</v>
      </c>
      <c r="BM44" s="2"/>
    </row>
    <row r="45" spans="1:65" x14ac:dyDescent="0.3">
      <c r="A45">
        <f t="shared" si="8"/>
        <v>1995</v>
      </c>
      <c r="B45" s="2">
        <f t="shared" si="12"/>
        <v>41093.067480762045</v>
      </c>
      <c r="C45" s="2">
        <f t="shared" si="13"/>
        <v>62718.304712180921</v>
      </c>
      <c r="D45" s="2"/>
      <c r="E45" s="2"/>
      <c r="F45" s="2">
        <f t="shared" si="14"/>
        <v>41166.279180222293</v>
      </c>
      <c r="G45" s="2"/>
      <c r="H45" s="2">
        <f t="shared" si="15"/>
        <v>52432.9005397898</v>
      </c>
      <c r="I45" s="2">
        <f t="shared" si="45"/>
        <v>197410.55191295507</v>
      </c>
      <c r="J45" s="2">
        <f t="shared" si="16"/>
        <v>32996.80702862257</v>
      </c>
      <c r="K45" s="6">
        <f t="shared" si="17"/>
        <v>0.20069372576992461</v>
      </c>
      <c r="L45" s="7">
        <f t="shared" si="18"/>
        <v>1.2006937257699246</v>
      </c>
      <c r="N45">
        <f t="shared" si="19"/>
        <v>1995</v>
      </c>
      <c r="O45" s="2">
        <f t="shared" si="20"/>
        <v>5872.828672332339</v>
      </c>
      <c r="P45" s="2"/>
      <c r="Q45" s="2"/>
      <c r="R45">
        <f t="shared" si="21"/>
        <v>1995</v>
      </c>
      <c r="S45" s="2">
        <f t="shared" si="22"/>
        <v>39624.86031267896</v>
      </c>
      <c r="T45" s="2">
        <f t="shared" si="22"/>
        <v>61250.097544097836</v>
      </c>
      <c r="U45" s="2"/>
      <c r="V45" s="2"/>
      <c r="W45" s="2">
        <f t="shared" si="9"/>
        <v>39698.072012139208</v>
      </c>
      <c r="X45" s="2"/>
      <c r="Y45" s="2">
        <f t="shared" si="23"/>
        <v>50964.693371706715</v>
      </c>
      <c r="Z45" s="2">
        <f t="shared" si="24"/>
        <v>191537.72324062273</v>
      </c>
      <c r="AA45" s="2">
        <f t="shared" si="25"/>
        <v>32853.567304907134</v>
      </c>
      <c r="AB45" s="6">
        <f t="shared" si="26"/>
        <v>0.20703747712667933</v>
      </c>
      <c r="AC45" s="7">
        <f t="shared" si="27"/>
        <v>1.2070374771266794</v>
      </c>
      <c r="AD45" s="2">
        <f t="shared" si="28"/>
        <v>0</v>
      </c>
      <c r="AE45" s="2"/>
      <c r="AG45">
        <f t="shared" si="29"/>
        <v>1995</v>
      </c>
      <c r="AH45" s="6">
        <f t="shared" si="6"/>
        <v>0.20687757817241836</v>
      </c>
      <c r="AI45" s="6">
        <f t="shared" si="7"/>
        <v>0.31978085834899111</v>
      </c>
      <c r="AJ45" s="7"/>
      <c r="AK45" s="7"/>
      <c r="AL45" s="6">
        <f t="shared" si="30"/>
        <v>0.20725980940197242</v>
      </c>
      <c r="AM45" s="7"/>
      <c r="AN45" s="6">
        <f t="shared" si="31"/>
        <v>0.2660817540766181</v>
      </c>
      <c r="AO45" s="6">
        <f t="shared" si="32"/>
        <v>1</v>
      </c>
      <c r="AP45" s="7">
        <f t="shared" si="33"/>
        <v>0.73391824592338195</v>
      </c>
      <c r="AQ45" s="7">
        <f t="shared" si="34"/>
        <v>0</v>
      </c>
      <c r="AR45" s="24"/>
      <c r="AS45">
        <f t="shared" si="35"/>
        <v>1995</v>
      </c>
      <c r="AT45" s="1" t="b">
        <f t="shared" si="36"/>
        <v>1</v>
      </c>
      <c r="AU45" s="1" t="b">
        <f t="shared" si="37"/>
        <v>1</v>
      </c>
      <c r="AX45" s="1" t="b">
        <f t="shared" si="10"/>
        <v>1</v>
      </c>
      <c r="AZ45" s="1" t="b">
        <f t="shared" si="38"/>
        <v>1</v>
      </c>
      <c r="BA45" s="1" t="b">
        <f t="shared" si="39"/>
        <v>1</v>
      </c>
      <c r="BC45">
        <f t="shared" si="40"/>
        <v>1995</v>
      </c>
      <c r="BD45" s="2">
        <f t="shared" si="41"/>
        <v>39624.86031267896</v>
      </c>
      <c r="BE45" s="2">
        <f t="shared" si="42"/>
        <v>61250.097544097836</v>
      </c>
      <c r="BF45" s="2"/>
      <c r="BG45" s="2"/>
      <c r="BH45" s="2">
        <f t="shared" si="11"/>
        <v>39698.072012139208</v>
      </c>
      <c r="BI45" s="2"/>
      <c r="BJ45" s="2">
        <f>Y45</f>
        <v>50964.693371706715</v>
      </c>
      <c r="BK45" s="2">
        <f t="shared" si="43"/>
        <v>191537.72324062273</v>
      </c>
      <c r="BL45" s="2">
        <f t="shared" si="44"/>
        <v>0</v>
      </c>
      <c r="BM45" s="2"/>
    </row>
    <row r="46" spans="1:65" x14ac:dyDescent="0.3">
      <c r="A46">
        <f t="shared" si="8"/>
        <v>1996</v>
      </c>
      <c r="B46" s="2">
        <f t="shared" si="12"/>
        <v>48691.02835221991</v>
      </c>
      <c r="C46" s="2">
        <f t="shared" si="13"/>
        <v>72058.902257704773</v>
      </c>
      <c r="D46" s="2"/>
      <c r="E46" s="2"/>
      <c r="F46" s="2">
        <f t="shared" si="14"/>
        <v>43754.81799105971</v>
      </c>
      <c r="G46" s="2"/>
      <c r="H46" s="2">
        <f t="shared" si="15"/>
        <v>52789.229394413815</v>
      </c>
      <c r="I46" s="2">
        <f t="shared" si="45"/>
        <v>217293.97799539822</v>
      </c>
      <c r="J46" s="2">
        <f t="shared" si="16"/>
        <v>19883.426082443155</v>
      </c>
      <c r="K46" s="6">
        <f t="shared" si="17"/>
        <v>0.10072119190067623</v>
      </c>
      <c r="L46" s="7">
        <f t="shared" si="18"/>
        <v>1.1007211919006763</v>
      </c>
      <c r="N46">
        <f t="shared" si="19"/>
        <v>1996</v>
      </c>
      <c r="O46" s="2">
        <f t="shared" si="20"/>
        <v>6072.5048471916389</v>
      </c>
      <c r="P46" s="2"/>
      <c r="Q46" s="2"/>
      <c r="R46">
        <f t="shared" si="21"/>
        <v>1996</v>
      </c>
      <c r="S46" s="2">
        <f t="shared" si="22"/>
        <v>47172.902140421997</v>
      </c>
      <c r="T46" s="2">
        <f t="shared" si="22"/>
        <v>70540.776045906867</v>
      </c>
      <c r="U46" s="2"/>
      <c r="V46" s="2"/>
      <c r="W46" s="2">
        <f t="shared" si="9"/>
        <v>42236.691779261797</v>
      </c>
      <c r="X46" s="2"/>
      <c r="Y46" s="2">
        <f t="shared" si="23"/>
        <v>51271.103182615901</v>
      </c>
      <c r="Z46" s="2">
        <f t="shared" si="24"/>
        <v>211221.47314820654</v>
      </c>
      <c r="AA46" s="2">
        <f t="shared" si="25"/>
        <v>19683.749907583813</v>
      </c>
      <c r="AB46" s="6">
        <f t="shared" si="26"/>
        <v>0.10276696190470921</v>
      </c>
      <c r="AC46" s="7">
        <f t="shared" si="27"/>
        <v>1.1027669619047091</v>
      </c>
      <c r="AD46" s="2">
        <f t="shared" si="28"/>
        <v>0</v>
      </c>
      <c r="AE46" s="2"/>
      <c r="AG46">
        <f t="shared" si="29"/>
        <v>1996</v>
      </c>
      <c r="AH46" s="6">
        <f t="shared" si="6"/>
        <v>0.22333383740450699</v>
      </c>
      <c r="AI46" s="6">
        <f t="shared" si="7"/>
        <v>0.3339659315623224</v>
      </c>
      <c r="AJ46" s="7"/>
      <c r="AK46" s="7"/>
      <c r="AL46" s="6">
        <f t="shared" si="30"/>
        <v>0.19996400531505537</v>
      </c>
      <c r="AM46" s="6"/>
      <c r="AN46" s="38">
        <f t="shared" si="31"/>
        <v>0.24273622571811534</v>
      </c>
      <c r="AO46" s="6">
        <f t="shared" si="32"/>
        <v>1.0000000000000002</v>
      </c>
      <c r="AP46" s="7">
        <f t="shared" si="33"/>
        <v>0.75726377428188485</v>
      </c>
      <c r="AQ46" s="7">
        <f t="shared" si="34"/>
        <v>0</v>
      </c>
      <c r="AR46" s="24"/>
      <c r="AS46">
        <f t="shared" si="35"/>
        <v>1996</v>
      </c>
      <c r="AT46" s="1" t="b">
        <f t="shared" si="36"/>
        <v>1</v>
      </c>
      <c r="AU46" s="1" t="b">
        <f t="shared" si="37"/>
        <v>1</v>
      </c>
      <c r="AX46" s="1" t="b">
        <f t="shared" si="10"/>
        <v>1</v>
      </c>
      <c r="AZ46" s="39" t="b">
        <f t="shared" si="38"/>
        <v>0</v>
      </c>
      <c r="BA46" s="1" t="b">
        <f t="shared" si="39"/>
        <v>1</v>
      </c>
      <c r="BC46">
        <f t="shared" si="40"/>
        <v>1996</v>
      </c>
      <c r="BD46" s="40">
        <f>$BK46*BD$37</f>
        <v>42244.294629641314</v>
      </c>
      <c r="BE46" s="40">
        <f>$BK46*BE$37</f>
        <v>63366.441944461956</v>
      </c>
      <c r="BF46" s="2"/>
      <c r="BG46" s="2"/>
      <c r="BH46" s="40">
        <f>$BK46*BH$37</f>
        <v>42244.294629641314</v>
      </c>
      <c r="BI46" s="2"/>
      <c r="BJ46" s="40">
        <f>$BK46*BJ$37</f>
        <v>63366.441944461956</v>
      </c>
      <c r="BK46" s="2">
        <f t="shared" si="43"/>
        <v>211221.47314820654</v>
      </c>
      <c r="BL46" s="2">
        <f t="shared" si="44"/>
        <v>0</v>
      </c>
      <c r="BM46" s="2"/>
    </row>
    <row r="47" spans="1:65" x14ac:dyDescent="0.3">
      <c r="A47">
        <f t="shared" si="8"/>
        <v>1997</v>
      </c>
      <c r="B47" s="2">
        <f t="shared" si="12"/>
        <v>56265.176017219266</v>
      </c>
      <c r="C47" s="2">
        <f t="shared" si="13"/>
        <v>80277.044306180513</v>
      </c>
      <c r="D47" s="2"/>
      <c r="E47" s="2"/>
      <c r="F47" s="2"/>
      <c r="G47" s="2">
        <f>BH46*(1+(G13/100))</f>
        <v>41916.901346261591</v>
      </c>
      <c r="H47" s="2">
        <f t="shared" si="15"/>
        <v>69348.234064019169</v>
      </c>
      <c r="I47" s="2">
        <f t="shared" si="45"/>
        <v>247807.35573368054</v>
      </c>
      <c r="J47" s="2">
        <f t="shared" si="16"/>
        <v>30513.377738282317</v>
      </c>
      <c r="K47" s="6">
        <f t="shared" si="17"/>
        <v>0.14042440577404552</v>
      </c>
      <c r="L47" s="7">
        <f t="shared" si="18"/>
        <v>1.1404244057740456</v>
      </c>
      <c r="N47">
        <f t="shared" si="19"/>
        <v>1997</v>
      </c>
      <c r="O47" s="2">
        <f t="shared" si="20"/>
        <v>6175.7374295938962</v>
      </c>
      <c r="P47" s="2"/>
      <c r="Q47" s="2"/>
      <c r="R47">
        <f t="shared" si="21"/>
        <v>1997</v>
      </c>
      <c r="S47" s="2">
        <f t="shared" si="22"/>
        <v>54721.241659820793</v>
      </c>
      <c r="T47" s="2">
        <f t="shared" si="22"/>
        <v>78733.109948782032</v>
      </c>
      <c r="U47" s="2"/>
      <c r="V47" s="2"/>
      <c r="W47" s="2"/>
      <c r="X47" s="2">
        <f>G47-($O47/4)</f>
        <v>40372.966988863118</v>
      </c>
      <c r="Y47" s="2">
        <f t="shared" si="23"/>
        <v>67804.299706620688</v>
      </c>
      <c r="Z47" s="2">
        <f t="shared" si="24"/>
        <v>241631.61830408662</v>
      </c>
      <c r="AA47" s="2">
        <f t="shared" si="25"/>
        <v>30410.145155880076</v>
      </c>
      <c r="AB47" s="6">
        <f t="shared" si="26"/>
        <v>0.1439727916987984</v>
      </c>
      <c r="AC47" s="7">
        <f t="shared" si="27"/>
        <v>1.1439727916987983</v>
      </c>
      <c r="AD47" s="2">
        <f t="shared" si="28"/>
        <v>0</v>
      </c>
      <c r="AE47" s="2"/>
      <c r="AG47">
        <f t="shared" si="29"/>
        <v>1997</v>
      </c>
      <c r="AH47" s="6">
        <f t="shared" si="6"/>
        <v>0.22646556789168065</v>
      </c>
      <c r="AI47" s="6">
        <f t="shared" si="7"/>
        <v>0.32583943484456834</v>
      </c>
      <c r="AJ47" s="7"/>
      <c r="AK47" s="7"/>
      <c r="AL47" s="6"/>
      <c r="AM47" s="6">
        <f t="shared" si="30"/>
        <v>0.16708478498064303</v>
      </c>
      <c r="AN47" s="6">
        <f t="shared" si="31"/>
        <v>0.28061021228310806</v>
      </c>
      <c r="AO47" s="6">
        <f t="shared" si="32"/>
        <v>1.0000000000000002</v>
      </c>
      <c r="AP47" s="7">
        <f t="shared" si="33"/>
        <v>0.7193897877168921</v>
      </c>
      <c r="AQ47" s="7">
        <f t="shared" si="34"/>
        <v>0</v>
      </c>
      <c r="AR47" s="24"/>
      <c r="AS47">
        <f t="shared" si="35"/>
        <v>1997</v>
      </c>
      <c r="AT47" s="1" t="b">
        <f t="shared" si="36"/>
        <v>1</v>
      </c>
      <c r="AU47" s="1" t="b">
        <f t="shared" si="37"/>
        <v>1</v>
      </c>
      <c r="AX47" s="1"/>
      <c r="AY47" s="1" t="b">
        <f t="shared" ref="AY47:AY54" si="46">AND((X47/$Z47)&gt;0.15,(X47/$Z47)&lt;0.25)</f>
        <v>1</v>
      </c>
      <c r="AZ47" s="1" t="b">
        <f t="shared" si="38"/>
        <v>1</v>
      </c>
      <c r="BA47" s="1" t="b">
        <f t="shared" si="39"/>
        <v>1</v>
      </c>
      <c r="BC47">
        <f t="shared" si="40"/>
        <v>1997</v>
      </c>
      <c r="BD47" s="2">
        <f t="shared" si="41"/>
        <v>54721.241659820793</v>
      </c>
      <c r="BE47" s="2">
        <f t="shared" si="42"/>
        <v>78733.109948782032</v>
      </c>
      <c r="BF47" s="2"/>
      <c r="BG47" s="2"/>
      <c r="BH47" s="2"/>
      <c r="BI47" s="2">
        <f>X47</f>
        <v>40372.966988863118</v>
      </c>
      <c r="BJ47" s="2">
        <f>Y47</f>
        <v>67804.299706620688</v>
      </c>
      <c r="BK47" s="2">
        <f t="shared" si="43"/>
        <v>241631.61830408662</v>
      </c>
      <c r="BL47" s="2">
        <f t="shared" si="44"/>
        <v>0</v>
      </c>
      <c r="BM47" s="2"/>
    </row>
    <row r="48" spans="1:65" x14ac:dyDescent="0.3">
      <c r="A48">
        <f t="shared" si="8"/>
        <v>1998</v>
      </c>
      <c r="B48" s="2">
        <f t="shared" si="12"/>
        <v>70404.349519525436</v>
      </c>
      <c r="C48" s="2">
        <f t="shared" si="13"/>
        <v>85309.686622803798</v>
      </c>
      <c r="D48" s="2"/>
      <c r="E48" s="2"/>
      <c r="F48" s="2"/>
      <c r="G48" s="2">
        <f t="shared" ref="G48:G64" si="47">BI47*(1+(G14/100))</f>
        <v>46672.361028135427</v>
      </c>
      <c r="H48" s="2">
        <f t="shared" si="15"/>
        <v>73621.908621448747</v>
      </c>
      <c r="I48" s="2">
        <f t="shared" si="45"/>
        <v>276008.30579191342</v>
      </c>
      <c r="J48" s="2">
        <f t="shared" si="16"/>
        <v>28200.950058232876</v>
      </c>
      <c r="K48" s="6">
        <f t="shared" si="17"/>
        <v>0.11380190864285941</v>
      </c>
      <c r="L48" s="7">
        <f t="shared" si="18"/>
        <v>1.1138019086428594</v>
      </c>
      <c r="N48">
        <f t="shared" si="19"/>
        <v>1998</v>
      </c>
      <c r="O48" s="2">
        <f t="shared" si="20"/>
        <v>6274.5492284673983</v>
      </c>
      <c r="P48" s="2"/>
      <c r="Q48" s="2"/>
      <c r="R48">
        <f t="shared" si="21"/>
        <v>1998</v>
      </c>
      <c r="S48" s="2">
        <f>B48-($O48/4)</f>
        <v>68835.712212408587</v>
      </c>
      <c r="T48" s="2">
        <f>C48-($O48/4)</f>
        <v>83741.049315686949</v>
      </c>
      <c r="U48" s="2"/>
      <c r="V48" s="2"/>
      <c r="W48" s="2"/>
      <c r="X48" s="2">
        <f>G48-($O48/4)</f>
        <v>45103.723721018578</v>
      </c>
      <c r="Y48" s="2">
        <f>H48-($O48/4)</f>
        <v>72053.271314331898</v>
      </c>
      <c r="Z48" s="2">
        <f t="shared" si="24"/>
        <v>269733.75656344602</v>
      </c>
      <c r="AA48" s="2">
        <f t="shared" si="25"/>
        <v>28102.138259359403</v>
      </c>
      <c r="AB48" s="6">
        <f t="shared" si="26"/>
        <v>0.11630157698978637</v>
      </c>
      <c r="AC48" s="7">
        <f t="shared" si="27"/>
        <v>1.1163015769897864</v>
      </c>
      <c r="AD48" s="2">
        <f t="shared" si="28"/>
        <v>0</v>
      </c>
      <c r="AE48" s="2"/>
      <c r="AG48">
        <f t="shared" si="29"/>
        <v>1998</v>
      </c>
      <c r="AH48" s="38">
        <f t="shared" si="6"/>
        <v>0.25519873036809632</v>
      </c>
      <c r="AI48" s="6">
        <f t="shared" si="7"/>
        <v>0.31045817320973546</v>
      </c>
      <c r="AJ48" s="7"/>
      <c r="AK48" s="7"/>
      <c r="AL48" s="7"/>
      <c r="AM48" s="6">
        <f t="shared" si="30"/>
        <v>0.16721571780879196</v>
      </c>
      <c r="AN48" s="6">
        <f t="shared" si="31"/>
        <v>0.26712737861337621</v>
      </c>
      <c r="AO48" s="6">
        <f t="shared" si="32"/>
        <v>1</v>
      </c>
      <c r="AP48" s="7">
        <f t="shared" si="33"/>
        <v>0.73287262138662379</v>
      </c>
      <c r="AQ48" s="7">
        <f t="shared" si="34"/>
        <v>0</v>
      </c>
      <c r="AR48" s="24"/>
      <c r="AS48">
        <f t="shared" si="35"/>
        <v>1998</v>
      </c>
      <c r="AT48" s="39" t="b">
        <f t="shared" si="36"/>
        <v>0</v>
      </c>
      <c r="AU48" s="1" t="b">
        <f t="shared" si="37"/>
        <v>1</v>
      </c>
      <c r="AY48" s="1" t="b">
        <f t="shared" si="46"/>
        <v>1</v>
      </c>
      <c r="AZ48" s="1" t="b">
        <f t="shared" si="38"/>
        <v>1</v>
      </c>
      <c r="BA48" s="1" t="b">
        <f t="shared" si="39"/>
        <v>1</v>
      </c>
      <c r="BC48">
        <f t="shared" si="40"/>
        <v>1998</v>
      </c>
      <c r="BD48" s="40">
        <f>$BK48*BD$37</f>
        <v>53946.751312689208</v>
      </c>
      <c r="BE48" s="40">
        <f>$BK48*BE$37</f>
        <v>80920.126969033809</v>
      </c>
      <c r="BF48" s="2"/>
      <c r="BG48" s="2"/>
      <c r="BH48" s="2"/>
      <c r="BI48" s="40">
        <f>$BK48*BI$37</f>
        <v>53946.751312689208</v>
      </c>
      <c r="BJ48" s="40">
        <f>$BK48*BJ$37</f>
        <v>80920.126969033809</v>
      </c>
      <c r="BK48" s="2">
        <f t="shared" si="43"/>
        <v>269733.75656344602</v>
      </c>
      <c r="BL48" s="2">
        <f t="shared" si="44"/>
        <v>0</v>
      </c>
      <c r="BM48" s="2"/>
    </row>
    <row r="49" spans="1:65" x14ac:dyDescent="0.3">
      <c r="A49">
        <f t="shared" si="8"/>
        <v>1999</v>
      </c>
      <c r="B49" s="2">
        <f t="shared" ref="B49:B65" si="48">BD48*(1+(B15/100))</f>
        <v>65313.331814272831</v>
      </c>
      <c r="C49" s="2"/>
      <c r="D49" s="2">
        <f>($BE48*0.67)*(1+(D15/100))</f>
        <v>62521.908417011466</v>
      </c>
      <c r="E49" s="2">
        <f>($BE48*0.33)*(1+(E15/100))</f>
        <v>32880.995380457534</v>
      </c>
      <c r="F49" s="2"/>
      <c r="G49" s="2">
        <f t="shared" si="47"/>
        <v>70087.079837932703</v>
      </c>
      <c r="H49" s="2">
        <f t="shared" si="15"/>
        <v>80305.134004069143</v>
      </c>
      <c r="I49" s="2">
        <f t="shared" si="45"/>
        <v>311108.4494537437</v>
      </c>
      <c r="J49" s="2">
        <f t="shared" si="16"/>
        <v>35100.143661830283</v>
      </c>
      <c r="K49" s="6">
        <f t="shared" si="17"/>
        <v>0.1271706065551983</v>
      </c>
      <c r="L49" s="7">
        <f t="shared" si="18"/>
        <v>1.1271706065551983</v>
      </c>
      <c r="N49">
        <f t="shared" si="19"/>
        <v>1999</v>
      </c>
      <c r="O49" s="2">
        <f t="shared" si="20"/>
        <v>6443.9620576360176</v>
      </c>
      <c r="P49" s="2"/>
      <c r="Q49" s="2"/>
      <c r="R49">
        <f t="shared" si="21"/>
        <v>1999</v>
      </c>
      <c r="S49" s="2">
        <f>B49-($O49/5)</f>
        <v>64024.539402745628</v>
      </c>
      <c r="T49" s="2"/>
      <c r="U49" s="2">
        <f>D49-($O49/5)</f>
        <v>61233.116005484262</v>
      </c>
      <c r="V49" s="2">
        <f>E49-($O49/5)</f>
        <v>31592.202968930331</v>
      </c>
      <c r="W49" s="2"/>
      <c r="X49" s="2">
        <f>G49-($O49/5)</f>
        <v>68798.287426405499</v>
      </c>
      <c r="Y49" s="2">
        <f>H49-($O49/5)</f>
        <v>79016.341592541939</v>
      </c>
      <c r="Z49" s="2">
        <f t="shared" si="24"/>
        <v>304664.48739610764</v>
      </c>
      <c r="AA49" s="2">
        <f t="shared" si="25"/>
        <v>34930.730832661618</v>
      </c>
      <c r="AB49" s="6">
        <f t="shared" si="26"/>
        <v>0.129500776164237</v>
      </c>
      <c r="AC49" s="7">
        <f t="shared" si="27"/>
        <v>1.1295007761642371</v>
      </c>
      <c r="AD49" s="2">
        <f t="shared" si="28"/>
        <v>0</v>
      </c>
      <c r="AE49" s="2"/>
      <c r="AG49">
        <f t="shared" si="29"/>
        <v>1999</v>
      </c>
      <c r="AH49" s="6">
        <f t="shared" ref="AH49:AH62" si="49">S49/$Z49</f>
        <v>0.21014769377930326</v>
      </c>
      <c r="AI49" s="7"/>
      <c r="AJ49" s="6">
        <f t="shared" ref="AJ49:AJ62" si="50">U49/$Z49</f>
        <v>0.20098540702537609</v>
      </c>
      <c r="AK49" s="6">
        <f t="shared" ref="AK49:AK62" si="51">V49/$Z49</f>
        <v>0.10369506219428826</v>
      </c>
      <c r="AL49" s="7"/>
      <c r="AM49" s="6">
        <f t="shared" si="30"/>
        <v>0.22581656304746089</v>
      </c>
      <c r="AN49" s="6">
        <f t="shared" si="31"/>
        <v>0.25935527395357155</v>
      </c>
      <c r="AO49" s="6">
        <f t="shared" si="32"/>
        <v>1</v>
      </c>
      <c r="AP49" s="7">
        <f t="shared" si="33"/>
        <v>0.7406447260464285</v>
      </c>
      <c r="AQ49" s="7">
        <f t="shared" si="34"/>
        <v>0</v>
      </c>
      <c r="AR49" s="24"/>
      <c r="AS49">
        <f t="shared" si="35"/>
        <v>1999</v>
      </c>
      <c r="AT49" s="1" t="b">
        <f t="shared" si="36"/>
        <v>1</v>
      </c>
      <c r="AV49" s="1" t="b">
        <f>AND((U49/$Z49)&gt;0.15,(U49/$Z49)&lt;0.25)</f>
        <v>1</v>
      </c>
      <c r="AW49" s="1" t="b">
        <f>AND((V49/$Z49)&gt;0.05,(V49/$Z49)&lt;0.15)</f>
        <v>1</v>
      </c>
      <c r="AY49" s="1" t="b">
        <f t="shared" si="46"/>
        <v>1</v>
      </c>
      <c r="AZ49" s="1" t="b">
        <f t="shared" si="38"/>
        <v>1</v>
      </c>
      <c r="BA49" s="1" t="b">
        <f t="shared" si="39"/>
        <v>1</v>
      </c>
      <c r="BC49">
        <f t="shared" si="40"/>
        <v>1999</v>
      </c>
      <c r="BD49" s="2">
        <f t="shared" si="41"/>
        <v>64024.539402745628</v>
      </c>
      <c r="BE49" s="2"/>
      <c r="BF49" s="2">
        <f t="shared" ref="BF49" si="52">U49</f>
        <v>61233.116005484262</v>
      </c>
      <c r="BG49" s="2">
        <f t="shared" ref="BG49" si="53">V49</f>
        <v>31592.202968930331</v>
      </c>
      <c r="BH49" s="2"/>
      <c r="BI49" s="2">
        <f>X49</f>
        <v>68798.287426405499</v>
      </c>
      <c r="BJ49" s="2">
        <f t="shared" ref="BJ49:BJ51" si="54">Y49</f>
        <v>79016.341592541939</v>
      </c>
      <c r="BK49" s="2">
        <f t="shared" si="43"/>
        <v>304664.48739610764</v>
      </c>
      <c r="BL49" s="2">
        <f t="shared" si="44"/>
        <v>0</v>
      </c>
      <c r="BM49" s="2"/>
    </row>
    <row r="50" spans="1:65" x14ac:dyDescent="0.3">
      <c r="A50">
        <f t="shared" si="8"/>
        <v>2000</v>
      </c>
      <c r="B50" s="2">
        <f t="shared" si="48"/>
        <v>58223.916132856873</v>
      </c>
      <c r="C50" s="2"/>
      <c r="D50" s="2">
        <f t="shared" ref="D50:D64" si="55">BF49*(1+(D16/100))</f>
        <v>72315.085340156802</v>
      </c>
      <c r="E50" s="2">
        <f t="shared" ref="E50:E64" si="56">BG49*(1+(E16/100))</f>
        <v>30750.27075980834</v>
      </c>
      <c r="F50" s="2"/>
      <c r="G50" s="2">
        <f t="shared" si="47"/>
        <v>58056.122827646548</v>
      </c>
      <c r="H50" s="2">
        <f t="shared" si="15"/>
        <v>88016.302899932474</v>
      </c>
      <c r="I50" s="2">
        <f t="shared" si="45"/>
        <v>307361.69796040107</v>
      </c>
      <c r="J50" s="2">
        <f t="shared" si="16"/>
        <v>-3746.7514933426282</v>
      </c>
      <c r="K50" s="6">
        <f t="shared" si="17"/>
        <v>-1.2043232833827947E-2</v>
      </c>
      <c r="L50" s="7">
        <f t="shared" si="18"/>
        <v>0.98795676716617209</v>
      </c>
      <c r="N50">
        <f t="shared" si="19"/>
        <v>2000</v>
      </c>
      <c r="O50" s="2">
        <f t="shared" si="20"/>
        <v>6663.0567675956427</v>
      </c>
      <c r="P50" s="2"/>
      <c r="Q50" s="2"/>
      <c r="R50">
        <f t="shared" si="21"/>
        <v>2000</v>
      </c>
      <c r="S50" s="2">
        <f t="shared" ref="S50:S62" si="57">B50-($O50/5)</f>
        <v>56891.304779337748</v>
      </c>
      <c r="T50" s="2"/>
      <c r="U50" s="2">
        <f t="shared" ref="U50:V62" si="58">D50-($O50/5)</f>
        <v>70982.473986637677</v>
      </c>
      <c r="V50" s="2">
        <f t="shared" si="58"/>
        <v>29417.659406289211</v>
      </c>
      <c r="W50" s="2"/>
      <c r="X50" s="2">
        <f t="shared" ref="X50:Y62" si="59">G50-($O50/5)</f>
        <v>56723.511474127423</v>
      </c>
      <c r="Y50" s="2">
        <f t="shared" si="59"/>
        <v>86683.691546413349</v>
      </c>
      <c r="Z50" s="2">
        <f t="shared" si="24"/>
        <v>300698.64119280537</v>
      </c>
      <c r="AA50" s="2">
        <f t="shared" si="25"/>
        <v>-3965.8462033022661</v>
      </c>
      <c r="AB50" s="6">
        <f t="shared" si="26"/>
        <v>-1.301709377813403E-2</v>
      </c>
      <c r="AC50" s="7">
        <f t="shared" si="27"/>
        <v>0.98698290622186602</v>
      </c>
      <c r="AD50" s="2">
        <f t="shared" si="28"/>
        <v>0</v>
      </c>
      <c r="AE50" s="2"/>
      <c r="AG50">
        <f t="shared" si="29"/>
        <v>2000</v>
      </c>
      <c r="AH50" s="6">
        <f t="shared" si="49"/>
        <v>0.1891970796863679</v>
      </c>
      <c r="AI50" s="7"/>
      <c r="AJ50" s="6">
        <f t="shared" si="50"/>
        <v>0.23605851261936475</v>
      </c>
      <c r="AK50" s="6">
        <f t="shared" si="51"/>
        <v>9.7831035383451767E-2</v>
      </c>
      <c r="AL50" s="7"/>
      <c r="AM50" s="6">
        <f t="shared" si="30"/>
        <v>0.18863906816844175</v>
      </c>
      <c r="AN50" s="6">
        <f t="shared" si="31"/>
        <v>0.28827430414237393</v>
      </c>
      <c r="AO50" s="6">
        <f t="shared" si="32"/>
        <v>1</v>
      </c>
      <c r="AP50" s="7">
        <f t="shared" si="33"/>
        <v>0.71172569585762613</v>
      </c>
      <c r="AQ50" s="7">
        <f t="shared" si="34"/>
        <v>0</v>
      </c>
      <c r="AR50" s="24"/>
      <c r="AS50">
        <f t="shared" si="35"/>
        <v>2000</v>
      </c>
      <c r="AT50" s="1" t="b">
        <f t="shared" si="36"/>
        <v>1</v>
      </c>
      <c r="AV50" s="1" t="b">
        <f t="shared" ref="AV50:AV62" si="60">AND((U50/$Z50)&gt;0.15,(U50/$Z50)&lt;0.25)</f>
        <v>1</v>
      </c>
      <c r="AW50" s="1" t="b">
        <f t="shared" ref="AW50:AW62" si="61">AND((V50/$Z50)&gt;0.05,(V50/$Z50)&lt;0.15)</f>
        <v>1</v>
      </c>
      <c r="AY50" s="1" t="b">
        <f t="shared" si="46"/>
        <v>1</v>
      </c>
      <c r="AZ50" s="1" t="b">
        <f t="shared" si="38"/>
        <v>1</v>
      </c>
      <c r="BA50" s="1" t="b">
        <f t="shared" si="39"/>
        <v>1</v>
      </c>
      <c r="BC50">
        <f t="shared" si="40"/>
        <v>2000</v>
      </c>
      <c r="BD50" s="2">
        <f t="shared" si="41"/>
        <v>56891.304779337748</v>
      </c>
      <c r="BE50" s="2"/>
      <c r="BF50" s="2">
        <f t="shared" ref="BF50:BF62" si="62">U50</f>
        <v>70982.473986637677</v>
      </c>
      <c r="BG50" s="2">
        <f t="shared" ref="BG50:BG62" si="63">V50</f>
        <v>29417.659406289211</v>
      </c>
      <c r="BH50" s="2"/>
      <c r="BI50" s="2">
        <f>X50</f>
        <v>56723.511474127423</v>
      </c>
      <c r="BJ50" s="2">
        <f t="shared" si="54"/>
        <v>86683.691546413349</v>
      </c>
      <c r="BK50" s="2">
        <f t="shared" si="43"/>
        <v>300698.64119280537</v>
      </c>
      <c r="BL50" s="2">
        <f t="shared" si="44"/>
        <v>0</v>
      </c>
      <c r="BM50" s="2"/>
    </row>
    <row r="51" spans="1:65" x14ac:dyDescent="0.3">
      <c r="A51">
        <f t="shared" si="8"/>
        <v>2001</v>
      </c>
      <c r="B51" s="2">
        <f t="shared" si="48"/>
        <v>50052.969944861354</v>
      </c>
      <c r="C51" s="2"/>
      <c r="D51" s="2">
        <f t="shared" si="55"/>
        <v>70628.271441444347</v>
      </c>
      <c r="E51" s="2">
        <f t="shared" si="56"/>
        <v>30329.606847884173</v>
      </c>
      <c r="F51" s="2"/>
      <c r="G51" s="2">
        <f t="shared" si="47"/>
        <v>45292.022206746522</v>
      </c>
      <c r="H51" s="2">
        <f t="shared" si="15"/>
        <v>93991.126743775996</v>
      </c>
      <c r="I51" s="2">
        <f t="shared" si="45"/>
        <v>290293.99718471244</v>
      </c>
      <c r="J51" s="2">
        <f t="shared" si="16"/>
        <v>-17067.700775688631</v>
      </c>
      <c r="K51" s="6">
        <f t="shared" si="17"/>
        <v>-5.5529693156131467E-2</v>
      </c>
      <c r="L51" s="7">
        <f t="shared" si="18"/>
        <v>0.94447030684386857</v>
      </c>
      <c r="N51">
        <f t="shared" si="19"/>
        <v>2001</v>
      </c>
      <c r="O51" s="2">
        <f t="shared" si="20"/>
        <v>6769.6656758771733</v>
      </c>
      <c r="P51" s="2"/>
      <c r="Q51" s="2"/>
      <c r="R51">
        <f t="shared" si="21"/>
        <v>2001</v>
      </c>
      <c r="S51" s="2">
        <f t="shared" si="57"/>
        <v>48699.036809685917</v>
      </c>
      <c r="T51" s="2"/>
      <c r="U51" s="2">
        <f t="shared" si="58"/>
        <v>69274.33830626891</v>
      </c>
      <c r="V51" s="2">
        <f t="shared" si="58"/>
        <v>28975.67371270874</v>
      </c>
      <c r="W51" s="2"/>
      <c r="X51" s="2">
        <f t="shared" si="59"/>
        <v>43938.089071571085</v>
      </c>
      <c r="Y51" s="2">
        <f t="shared" si="59"/>
        <v>92637.193608600559</v>
      </c>
      <c r="Z51" s="2">
        <f t="shared" si="24"/>
        <v>283524.3315088352</v>
      </c>
      <c r="AA51" s="2">
        <f t="shared" si="25"/>
        <v>-17174.309683970176</v>
      </c>
      <c r="AB51" s="6">
        <f t="shared" si="26"/>
        <v>-5.7114690029337903E-2</v>
      </c>
      <c r="AC51" s="7">
        <f t="shared" si="27"/>
        <v>0.94288530997066211</v>
      </c>
      <c r="AD51" s="2">
        <f t="shared" si="28"/>
        <v>0</v>
      </c>
      <c r="AE51" s="2"/>
      <c r="AG51">
        <f t="shared" si="29"/>
        <v>2001</v>
      </c>
      <c r="AH51" s="6">
        <f t="shared" si="49"/>
        <v>0.17176316597070737</v>
      </c>
      <c r="AI51" s="7"/>
      <c r="AJ51" s="6">
        <f t="shared" si="50"/>
        <v>0.24433295702563074</v>
      </c>
      <c r="AK51" s="6">
        <f t="shared" si="51"/>
        <v>0.10219819074612931</v>
      </c>
      <c r="AL51" s="7"/>
      <c r="AM51" s="6">
        <f t="shared" si="30"/>
        <v>0.15497114070508577</v>
      </c>
      <c r="AN51" s="62">
        <f t="shared" si="31"/>
        <v>0.32673454555244685</v>
      </c>
      <c r="AO51" s="6">
        <f t="shared" si="32"/>
        <v>1</v>
      </c>
      <c r="AP51" s="7">
        <f t="shared" si="33"/>
        <v>0.67326545444755326</v>
      </c>
      <c r="AQ51" s="7">
        <f t="shared" si="34"/>
        <v>0</v>
      </c>
      <c r="AR51" s="24"/>
      <c r="AS51">
        <f t="shared" si="35"/>
        <v>2001</v>
      </c>
      <c r="AT51" s="1" t="b">
        <f t="shared" si="36"/>
        <v>1</v>
      </c>
      <c r="AV51" s="1" t="b">
        <f t="shared" si="60"/>
        <v>1</v>
      </c>
      <c r="AW51" s="1" t="b">
        <f t="shared" si="61"/>
        <v>1</v>
      </c>
      <c r="AY51" s="1" t="b">
        <f t="shared" si="46"/>
        <v>1</v>
      </c>
      <c r="AZ51" s="1" t="b">
        <f t="shared" si="38"/>
        <v>1</v>
      </c>
      <c r="BA51" s="1" t="b">
        <f t="shared" si="39"/>
        <v>1</v>
      </c>
      <c r="BC51">
        <f t="shared" si="40"/>
        <v>2001</v>
      </c>
      <c r="BD51" s="2">
        <f t="shared" si="41"/>
        <v>48699.036809685917</v>
      </c>
      <c r="BE51" s="2"/>
      <c r="BF51" s="2">
        <f t="shared" si="62"/>
        <v>69274.33830626891</v>
      </c>
      <c r="BG51" s="2">
        <f t="shared" si="63"/>
        <v>28975.67371270874</v>
      </c>
      <c r="BH51" s="2"/>
      <c r="BI51" s="2">
        <f>X51</f>
        <v>43938.089071571085</v>
      </c>
      <c r="BJ51" s="2">
        <f t="shared" si="54"/>
        <v>92637.193608600559</v>
      </c>
      <c r="BK51" s="2">
        <f t="shared" si="43"/>
        <v>283524.3315088352</v>
      </c>
      <c r="BL51" s="2">
        <f t="shared" si="44"/>
        <v>0</v>
      </c>
      <c r="BM51" s="2"/>
    </row>
    <row r="52" spans="1:65" x14ac:dyDescent="0.3">
      <c r="A52">
        <f t="shared" si="8"/>
        <v>2002</v>
      </c>
      <c r="B52" s="2">
        <f t="shared" si="48"/>
        <v>37912.200156340485</v>
      </c>
      <c r="C52" s="2"/>
      <c r="D52" s="2">
        <f t="shared" si="55"/>
        <v>59154.742966489146</v>
      </c>
      <c r="E52" s="2">
        <f t="shared" si="56"/>
        <v>23174.164321950197</v>
      </c>
      <c r="F52" s="2"/>
      <c r="G52" s="2">
        <f t="shared" si="47"/>
        <v>37310.907096906019</v>
      </c>
      <c r="H52" s="2">
        <f t="shared" si="15"/>
        <v>100289.02580067096</v>
      </c>
      <c r="I52" s="2">
        <f t="shared" si="45"/>
        <v>257841.04034235681</v>
      </c>
      <c r="J52" s="2">
        <f t="shared" si="16"/>
        <v>-32452.956842355634</v>
      </c>
      <c r="K52" s="6">
        <f t="shared" si="17"/>
        <v>-0.11179341342599654</v>
      </c>
      <c r="L52" s="7">
        <f t="shared" si="18"/>
        <v>0.88820658657400342</v>
      </c>
      <c r="N52">
        <f t="shared" si="19"/>
        <v>2002</v>
      </c>
      <c r="O52" s="2">
        <f t="shared" si="20"/>
        <v>6938.907317774102</v>
      </c>
      <c r="P52" s="2"/>
      <c r="Q52" s="2"/>
      <c r="R52">
        <f t="shared" si="21"/>
        <v>2002</v>
      </c>
      <c r="S52" s="2">
        <f t="shared" si="57"/>
        <v>36524.418692785664</v>
      </c>
      <c r="T52" s="2"/>
      <c r="U52" s="2">
        <f t="shared" si="58"/>
        <v>57766.961502934326</v>
      </c>
      <c r="V52" s="2">
        <f t="shared" si="58"/>
        <v>21786.382858395376</v>
      </c>
      <c r="W52" s="2"/>
      <c r="X52" s="2">
        <f t="shared" si="59"/>
        <v>35923.125633351199</v>
      </c>
      <c r="Y52" s="2">
        <f t="shared" si="59"/>
        <v>98901.244337116135</v>
      </c>
      <c r="Z52" s="2">
        <f t="shared" si="24"/>
        <v>250902.1330245827</v>
      </c>
      <c r="AA52" s="2">
        <f t="shared" si="25"/>
        <v>-32622.198484252498</v>
      </c>
      <c r="AB52" s="6">
        <f t="shared" si="26"/>
        <v>-0.11505960814948936</v>
      </c>
      <c r="AC52" s="7">
        <f t="shared" si="27"/>
        <v>0.88494039185051065</v>
      </c>
      <c r="AD52" s="2">
        <f t="shared" si="28"/>
        <v>0</v>
      </c>
      <c r="AE52" s="2"/>
      <c r="AG52">
        <f t="shared" si="29"/>
        <v>2002</v>
      </c>
      <c r="AH52" s="6">
        <f t="shared" si="49"/>
        <v>0.14557237219345243</v>
      </c>
      <c r="AI52" s="7"/>
      <c r="AJ52" s="6">
        <f t="shared" si="50"/>
        <v>0.23023702830487486</v>
      </c>
      <c r="AK52" s="6">
        <f t="shared" si="51"/>
        <v>8.6832194671939311E-2</v>
      </c>
      <c r="AL52" s="7"/>
      <c r="AM52" s="38">
        <f t="shared" si="30"/>
        <v>0.14317584789058588</v>
      </c>
      <c r="AN52" s="38">
        <f t="shared" si="31"/>
        <v>0.3941825569391475</v>
      </c>
      <c r="AO52" s="6">
        <f t="shared" si="32"/>
        <v>1</v>
      </c>
      <c r="AP52" s="7">
        <f t="shared" si="33"/>
        <v>0.6058174430608525</v>
      </c>
      <c r="AQ52" s="7">
        <f t="shared" si="34"/>
        <v>0</v>
      </c>
      <c r="AR52" s="24"/>
      <c r="AS52">
        <f t="shared" si="35"/>
        <v>2002</v>
      </c>
      <c r="AT52" s="39" t="b">
        <f t="shared" si="36"/>
        <v>0</v>
      </c>
      <c r="AV52" s="1" t="b">
        <f t="shared" si="60"/>
        <v>1</v>
      </c>
      <c r="AW52" s="1" t="b">
        <f t="shared" si="61"/>
        <v>1</v>
      </c>
      <c r="AY52" s="39" t="b">
        <f t="shared" si="46"/>
        <v>0</v>
      </c>
      <c r="AZ52" s="39" t="b">
        <f t="shared" si="38"/>
        <v>0</v>
      </c>
      <c r="BA52" s="1" t="b">
        <f t="shared" si="39"/>
        <v>1</v>
      </c>
      <c r="BC52">
        <f t="shared" si="40"/>
        <v>2002</v>
      </c>
      <c r="BD52" s="40">
        <f>$BK52*BD$37</f>
        <v>50180.426604916545</v>
      </c>
      <c r="BE52" s="2"/>
      <c r="BF52" s="40">
        <f t="shared" ref="BF52:BG53" si="64">$BK52*BF$37</f>
        <v>50180.426604916545</v>
      </c>
      <c r="BG52" s="40">
        <f t="shared" si="64"/>
        <v>25090.213302458273</v>
      </c>
      <c r="BH52" s="2"/>
      <c r="BI52" s="40">
        <f>$BK52*BI$37</f>
        <v>50180.426604916545</v>
      </c>
      <c r="BJ52" s="40">
        <f t="shared" ref="BJ52:BJ53" si="65">$BK52*BJ$37</f>
        <v>75270.639907374803</v>
      </c>
      <c r="BK52" s="2">
        <f t="shared" si="43"/>
        <v>250902.1330245827</v>
      </c>
      <c r="BL52" s="2">
        <f t="shared" si="44"/>
        <v>0</v>
      </c>
      <c r="BM52" s="2"/>
    </row>
    <row r="53" spans="1:65" x14ac:dyDescent="0.3">
      <c r="A53">
        <f t="shared" si="8"/>
        <v>2003</v>
      </c>
      <c r="B53" s="2">
        <f t="shared" si="48"/>
        <v>64481.848187317759</v>
      </c>
      <c r="C53" s="2"/>
      <c r="D53" s="2">
        <f t="shared" si="55"/>
        <v>67313.02785636716</v>
      </c>
      <c r="E53" s="2">
        <f t="shared" si="56"/>
        <v>36538.375828103934</v>
      </c>
      <c r="F53" s="2"/>
      <c r="G53" s="2">
        <f t="shared" si="47"/>
        <v>70423.210697339877</v>
      </c>
      <c r="H53" s="2">
        <f t="shared" si="15"/>
        <v>78258.884311697591</v>
      </c>
      <c r="I53" s="2">
        <f t="shared" si="45"/>
        <v>317015.34688082634</v>
      </c>
      <c r="J53" s="2">
        <f t="shared" si="16"/>
        <v>59174.306538469536</v>
      </c>
      <c r="K53" s="6">
        <f t="shared" si="17"/>
        <v>0.2294991769343582</v>
      </c>
      <c r="L53" s="7">
        <f t="shared" si="18"/>
        <v>1.2294991769343582</v>
      </c>
      <c r="N53">
        <f t="shared" si="19"/>
        <v>2003</v>
      </c>
      <c r="O53" s="2">
        <f t="shared" si="20"/>
        <v>7077.685464129584</v>
      </c>
      <c r="P53" s="2"/>
      <c r="Q53" s="2"/>
      <c r="R53">
        <f t="shared" si="21"/>
        <v>2003</v>
      </c>
      <c r="S53" s="2">
        <f t="shared" si="57"/>
        <v>63066.311094491844</v>
      </c>
      <c r="T53" s="2"/>
      <c r="U53" s="2">
        <f t="shared" si="58"/>
        <v>65897.490763541238</v>
      </c>
      <c r="V53" s="2">
        <f t="shared" si="58"/>
        <v>35122.838735278019</v>
      </c>
      <c r="W53" s="2"/>
      <c r="X53" s="2">
        <f t="shared" si="59"/>
        <v>69007.673604513955</v>
      </c>
      <c r="Y53" s="2">
        <f t="shared" si="59"/>
        <v>76843.34721887167</v>
      </c>
      <c r="Z53" s="2">
        <f t="shared" si="24"/>
        <v>309937.66141669673</v>
      </c>
      <c r="AA53" s="2">
        <f t="shared" si="25"/>
        <v>59035.528392114036</v>
      </c>
      <c r="AB53" s="6">
        <f t="shared" si="26"/>
        <v>0.23529305104125958</v>
      </c>
      <c r="AC53" s="7">
        <f t="shared" si="27"/>
        <v>1.2352930510412596</v>
      </c>
      <c r="AD53" s="2">
        <f t="shared" si="28"/>
        <v>0</v>
      </c>
      <c r="AE53" s="2"/>
      <c r="AG53">
        <f t="shared" si="29"/>
        <v>2003</v>
      </c>
      <c r="AH53" s="6">
        <f t="shared" si="49"/>
        <v>0.20348063157675481</v>
      </c>
      <c r="AI53" s="7"/>
      <c r="AJ53" s="6">
        <f t="shared" si="50"/>
        <v>0.21261530613069038</v>
      </c>
      <c r="AK53" s="6">
        <f t="shared" si="51"/>
        <v>0.11332226801588013</v>
      </c>
      <c r="AL53" s="7"/>
      <c r="AM53" s="6">
        <f t="shared" si="30"/>
        <v>0.22265017193808001</v>
      </c>
      <c r="AN53" s="38">
        <f t="shared" si="31"/>
        <v>0.24793162233859464</v>
      </c>
      <c r="AO53" s="6">
        <f t="shared" si="32"/>
        <v>1</v>
      </c>
      <c r="AP53" s="7">
        <f t="shared" si="33"/>
        <v>0.75206837766140533</v>
      </c>
      <c r="AQ53" s="7">
        <f t="shared" si="34"/>
        <v>0</v>
      </c>
      <c r="AR53" s="24"/>
      <c r="AS53">
        <f t="shared" si="35"/>
        <v>2003</v>
      </c>
      <c r="AT53" s="1" t="b">
        <f t="shared" si="36"/>
        <v>1</v>
      </c>
      <c r="AV53" s="1" t="b">
        <f t="shared" si="60"/>
        <v>1</v>
      </c>
      <c r="AW53" s="1" t="b">
        <f t="shared" si="61"/>
        <v>1</v>
      </c>
      <c r="AY53" s="1" t="b">
        <f t="shared" si="46"/>
        <v>1</v>
      </c>
      <c r="AZ53" s="39" t="b">
        <f t="shared" si="38"/>
        <v>0</v>
      </c>
      <c r="BA53" s="1" t="b">
        <f t="shared" si="39"/>
        <v>1</v>
      </c>
      <c r="BC53">
        <f t="shared" si="40"/>
        <v>2003</v>
      </c>
      <c r="BD53" s="40">
        <f>$BK53*BD$37</f>
        <v>61987.532283339351</v>
      </c>
      <c r="BE53" s="2"/>
      <c r="BF53" s="40">
        <f t="shared" si="64"/>
        <v>61987.532283339351</v>
      </c>
      <c r="BG53" s="40">
        <f t="shared" si="64"/>
        <v>30993.766141669676</v>
      </c>
      <c r="BH53" s="2"/>
      <c r="BI53" s="40">
        <f>$BK53*BI$37</f>
        <v>61987.532283339351</v>
      </c>
      <c r="BJ53" s="40">
        <f t="shared" si="65"/>
        <v>92981.298425009023</v>
      </c>
      <c r="BK53" s="2">
        <f t="shared" si="43"/>
        <v>309937.66141669673</v>
      </c>
      <c r="BL53" s="2">
        <f t="shared" si="44"/>
        <v>0</v>
      </c>
      <c r="BM53" s="2"/>
    </row>
    <row r="54" spans="1:65" x14ac:dyDescent="0.3">
      <c r="A54">
        <f t="shared" si="8"/>
        <v>2004</v>
      </c>
      <c r="B54" s="2">
        <f t="shared" si="48"/>
        <v>68644.993250569998</v>
      </c>
      <c r="C54" s="2"/>
      <c r="D54" s="2">
        <f t="shared" si="55"/>
        <v>74603.854728967402</v>
      </c>
      <c r="E54" s="2">
        <f t="shared" si="56"/>
        <v>37160.595790877691</v>
      </c>
      <c r="F54" s="2"/>
      <c r="G54" s="2">
        <f t="shared" si="47"/>
        <v>74903.874385218762</v>
      </c>
      <c r="H54" s="2">
        <f t="shared" si="15"/>
        <v>96923.7054782294</v>
      </c>
      <c r="I54" s="2">
        <f t="shared" si="45"/>
        <v>352237.02363386325</v>
      </c>
      <c r="J54" s="2">
        <f>I54-I53</f>
        <v>35221.676753036911</v>
      </c>
      <c r="K54" s="6">
        <f>(J54/I53)</f>
        <v>0.11110401152369946</v>
      </c>
      <c r="L54" s="7">
        <f t="shared" si="18"/>
        <v>1.1111040115236994</v>
      </c>
      <c r="N54">
        <f t="shared" si="19"/>
        <v>2004</v>
      </c>
      <c r="O54" s="2">
        <f t="shared" si="20"/>
        <v>7311.2490844458598</v>
      </c>
      <c r="P54" s="2"/>
      <c r="Q54" s="2"/>
      <c r="R54">
        <f t="shared" si="21"/>
        <v>2004</v>
      </c>
      <c r="S54" s="2">
        <f t="shared" si="57"/>
        <v>67182.743433680822</v>
      </c>
      <c r="T54" s="2"/>
      <c r="U54" s="2">
        <f t="shared" si="58"/>
        <v>73141.604912078226</v>
      </c>
      <c r="V54" s="2">
        <f t="shared" si="58"/>
        <v>35698.345973988522</v>
      </c>
      <c r="W54" s="2"/>
      <c r="X54" s="2">
        <f t="shared" si="59"/>
        <v>73441.624568329586</v>
      </c>
      <c r="Y54" s="2">
        <f t="shared" si="59"/>
        <v>95461.455661340224</v>
      </c>
      <c r="Z54" s="2">
        <f t="shared" si="24"/>
        <v>344925.77454941737</v>
      </c>
      <c r="AA54" s="2">
        <f>Z54-Z53</f>
        <v>34988.113132720639</v>
      </c>
      <c r="AB54" s="6">
        <f>(AA54/Z53)</f>
        <v>0.1128875818859611</v>
      </c>
      <c r="AC54" s="7">
        <f t="shared" si="27"/>
        <v>1.1128875818859612</v>
      </c>
      <c r="AD54" s="2">
        <f t="shared" si="28"/>
        <v>0</v>
      </c>
      <c r="AE54" s="2"/>
      <c r="AG54">
        <f t="shared" si="29"/>
        <v>2004</v>
      </c>
      <c r="AH54" s="6">
        <f t="shared" si="49"/>
        <v>0.1947744946617655</v>
      </c>
      <c r="AI54" s="7"/>
      <c r="AJ54" s="6">
        <f t="shared" si="50"/>
        <v>0.21205027373678989</v>
      </c>
      <c r="AK54" s="6">
        <f t="shared" si="51"/>
        <v>0.10349573330848326</v>
      </c>
      <c r="AL54" s="7"/>
      <c r="AM54" s="6">
        <f t="shared" si="30"/>
        <v>0.21292008306502369</v>
      </c>
      <c r="AN54" s="6">
        <f t="shared" si="31"/>
        <v>0.27675941522793768</v>
      </c>
      <c r="AO54" s="6">
        <f t="shared" si="32"/>
        <v>1</v>
      </c>
      <c r="AP54" s="7">
        <f t="shared" si="33"/>
        <v>0.72324058477206243</v>
      </c>
      <c r="AQ54" s="7">
        <f t="shared" si="34"/>
        <v>0</v>
      </c>
      <c r="AR54" s="24"/>
      <c r="AS54">
        <f t="shared" si="35"/>
        <v>2004</v>
      </c>
      <c r="AT54" s="1" t="b">
        <f t="shared" si="36"/>
        <v>1</v>
      </c>
      <c r="AV54" s="1" t="b">
        <f t="shared" si="60"/>
        <v>1</v>
      </c>
      <c r="AW54" s="1" t="b">
        <f t="shared" si="61"/>
        <v>1</v>
      </c>
      <c r="AY54" s="1" t="b">
        <f t="shared" si="46"/>
        <v>1</v>
      </c>
      <c r="AZ54" s="1" t="b">
        <f t="shared" si="38"/>
        <v>1</v>
      </c>
      <c r="BA54" s="1" t="b">
        <f t="shared" si="39"/>
        <v>1</v>
      </c>
      <c r="BC54">
        <f t="shared" si="40"/>
        <v>2004</v>
      </c>
      <c r="BD54" s="2">
        <f t="shared" si="41"/>
        <v>67182.743433680822</v>
      </c>
      <c r="BE54" s="2"/>
      <c r="BF54" s="2">
        <f t="shared" si="62"/>
        <v>73141.604912078226</v>
      </c>
      <c r="BG54" s="2">
        <f t="shared" si="63"/>
        <v>35698.345973988522</v>
      </c>
      <c r="BH54" s="2"/>
      <c r="BI54" s="2">
        <f>X54</f>
        <v>73441.624568329586</v>
      </c>
      <c r="BJ54" s="2">
        <f>Y54</f>
        <v>95461.455661340224</v>
      </c>
      <c r="BK54" s="2">
        <f t="shared" si="43"/>
        <v>344925.77454941737</v>
      </c>
      <c r="BL54" s="2">
        <f t="shared" si="44"/>
        <v>0</v>
      </c>
      <c r="BM54" s="2"/>
    </row>
    <row r="55" spans="1:65" x14ac:dyDescent="0.3">
      <c r="A55">
        <f t="shared" si="8"/>
        <v>2005</v>
      </c>
      <c r="B55" s="2">
        <f t="shared" si="48"/>
        <v>70387.360295467399</v>
      </c>
      <c r="C55" s="2"/>
      <c r="D55" s="2">
        <f t="shared" si="55"/>
        <v>83330.961892379841</v>
      </c>
      <c r="E55" s="2">
        <f t="shared" si="56"/>
        <v>38326.815188053297</v>
      </c>
      <c r="F55" s="2"/>
      <c r="G55" s="2">
        <f t="shared" si="47"/>
        <v>84877.219929864194</v>
      </c>
      <c r="H55" s="2">
        <f t="shared" si="15"/>
        <v>97752.53059721239</v>
      </c>
      <c r="I55" s="2">
        <f t="shared" si="45"/>
        <v>374674.88790297706</v>
      </c>
      <c r="J55" s="2">
        <f t="shared" si="16"/>
        <v>22437.864269113808</v>
      </c>
      <c r="K55" s="6">
        <f t="shared" si="17"/>
        <v>6.3701038685919337E-2</v>
      </c>
      <c r="L55" s="7">
        <f t="shared" si="18"/>
        <v>1.0637010386859194</v>
      </c>
      <c r="N55">
        <f t="shared" si="19"/>
        <v>2005</v>
      </c>
      <c r="O55" s="2">
        <f t="shared" si="20"/>
        <v>7552.5203042325729</v>
      </c>
      <c r="P55" s="2"/>
      <c r="Q55" s="2"/>
      <c r="R55">
        <f t="shared" si="21"/>
        <v>2005</v>
      </c>
      <c r="S55" s="2">
        <f t="shared" si="57"/>
        <v>68876.856234620878</v>
      </c>
      <c r="T55" s="2"/>
      <c r="U55" s="2">
        <f t="shared" si="58"/>
        <v>81820.45783153332</v>
      </c>
      <c r="V55" s="2">
        <f t="shared" si="58"/>
        <v>36816.311127206784</v>
      </c>
      <c r="W55" s="2"/>
      <c r="X55" s="2">
        <f t="shared" si="59"/>
        <v>83366.715869017673</v>
      </c>
      <c r="Y55" s="2">
        <f t="shared" si="59"/>
        <v>96242.026536365869</v>
      </c>
      <c r="Z55" s="2">
        <f t="shared" si="24"/>
        <v>367122.36759874446</v>
      </c>
      <c r="AA55" s="2">
        <f t="shared" ref="AA55:AA62" si="66">Z55-Z54</f>
        <v>22196.593049327086</v>
      </c>
      <c r="AB55" s="6">
        <f t="shared" ref="AB55:AB62" si="67">(AA55/Z54)</f>
        <v>6.4351795914129317E-2</v>
      </c>
      <c r="AC55" s="7">
        <f t="shared" si="27"/>
        <v>1.0643517959141293</v>
      </c>
      <c r="AD55" s="2">
        <f t="shared" si="28"/>
        <v>0</v>
      </c>
      <c r="AE55" s="2"/>
      <c r="AG55">
        <f t="shared" si="29"/>
        <v>2005</v>
      </c>
      <c r="AH55" s="6">
        <f t="shared" si="49"/>
        <v>0.18761280246999701</v>
      </c>
      <c r="AI55" s="7"/>
      <c r="AJ55" s="6">
        <f t="shared" si="50"/>
        <v>0.22286971607505274</v>
      </c>
      <c r="AK55" s="6">
        <f t="shared" si="51"/>
        <v>0.10028348686028875</v>
      </c>
      <c r="AL55" s="7"/>
      <c r="AM55" s="6">
        <f t="shared" ref="AM55:AM62" si="68">X55/$Z55</f>
        <v>0.22708154889689369</v>
      </c>
      <c r="AN55" s="6">
        <f t="shared" si="31"/>
        <v>0.26215244569776797</v>
      </c>
      <c r="AO55" s="6">
        <f t="shared" si="32"/>
        <v>1</v>
      </c>
      <c r="AP55" s="7">
        <f t="shared" si="33"/>
        <v>0.73784755430223214</v>
      </c>
      <c r="AQ55" s="7">
        <f t="shared" si="34"/>
        <v>0</v>
      </c>
      <c r="AR55" s="24"/>
      <c r="AS55">
        <f t="shared" si="35"/>
        <v>2005</v>
      </c>
      <c r="AT55" s="1" t="b">
        <f t="shared" si="36"/>
        <v>1</v>
      </c>
      <c r="AV55" s="1" t="b">
        <f t="shared" si="60"/>
        <v>1</v>
      </c>
      <c r="AW55" s="1" t="b">
        <f t="shared" si="61"/>
        <v>1</v>
      </c>
      <c r="AY55" s="1" t="b">
        <f t="shared" ref="AY55:AY62" si="69">AND((X55/$Z55)&gt;0.15,(X55/$Z55)&lt;0.25)</f>
        <v>1</v>
      </c>
      <c r="AZ55" s="1" t="b">
        <f t="shared" si="38"/>
        <v>1</v>
      </c>
      <c r="BA55" s="1" t="b">
        <f t="shared" si="39"/>
        <v>1</v>
      </c>
      <c r="BC55">
        <f t="shared" si="40"/>
        <v>2005</v>
      </c>
      <c r="BD55" s="2">
        <f t="shared" si="41"/>
        <v>68876.856234620878</v>
      </c>
      <c r="BE55" s="2"/>
      <c r="BF55" s="2">
        <f t="shared" si="62"/>
        <v>81820.45783153332</v>
      </c>
      <c r="BG55" s="2">
        <f t="shared" si="63"/>
        <v>36816.311127206784</v>
      </c>
      <c r="BH55" s="2"/>
      <c r="BI55" s="2">
        <f>X55</f>
        <v>83366.715869017673</v>
      </c>
      <c r="BJ55" s="2">
        <f>Y55</f>
        <v>96242.026536365869</v>
      </c>
      <c r="BK55" s="2">
        <f t="shared" si="43"/>
        <v>367122.36759874446</v>
      </c>
      <c r="BL55" s="2">
        <f t="shared" si="44"/>
        <v>0</v>
      </c>
      <c r="BM55" s="2"/>
    </row>
    <row r="56" spans="1:65" x14ac:dyDescent="0.3">
      <c r="A56">
        <f t="shared" si="8"/>
        <v>2006</v>
      </c>
      <c r="B56" s="2">
        <f t="shared" si="48"/>
        <v>79649.196549715591</v>
      </c>
      <c r="C56" s="2"/>
      <c r="D56" s="2">
        <f t="shared" si="55"/>
        <v>92945.585482886905</v>
      </c>
      <c r="E56" s="2">
        <f t="shared" si="56"/>
        <v>42580.272797282276</v>
      </c>
      <c r="F56" s="2"/>
      <c r="G56" s="2">
        <f t="shared" si="47"/>
        <v>105573.10797504791</v>
      </c>
      <c r="H56" s="2">
        <f t="shared" si="15"/>
        <v>100351.56106946869</v>
      </c>
      <c r="I56" s="2">
        <f t="shared" si="45"/>
        <v>421099.72387440136</v>
      </c>
      <c r="J56" s="2">
        <f t="shared" si="16"/>
        <v>46424.835971424298</v>
      </c>
      <c r="K56" s="6">
        <f t="shared" si="17"/>
        <v>0.12390698568366855</v>
      </c>
      <c r="L56" s="7">
        <f t="shared" si="18"/>
        <v>1.1239069856836685</v>
      </c>
      <c r="N56">
        <f t="shared" si="19"/>
        <v>2006</v>
      </c>
      <c r="O56" s="2">
        <f t="shared" si="20"/>
        <v>7741.3333118383862</v>
      </c>
      <c r="P56" s="2"/>
      <c r="Q56" s="2"/>
      <c r="R56">
        <f t="shared" si="21"/>
        <v>2006</v>
      </c>
      <c r="S56" s="2">
        <f t="shared" si="57"/>
        <v>78100.929887347913</v>
      </c>
      <c r="T56" s="2"/>
      <c r="U56" s="2">
        <f t="shared" si="58"/>
        <v>91397.318820519227</v>
      </c>
      <c r="V56" s="2">
        <f t="shared" si="58"/>
        <v>41032.006134914598</v>
      </c>
      <c r="W56" s="2"/>
      <c r="X56" s="2">
        <f t="shared" si="59"/>
        <v>104024.84131268023</v>
      </c>
      <c r="Y56" s="2">
        <f t="shared" si="59"/>
        <v>98803.294407101013</v>
      </c>
      <c r="Z56" s="2">
        <f t="shared" si="24"/>
        <v>413358.39056256297</v>
      </c>
      <c r="AA56" s="2">
        <f t="shared" si="66"/>
        <v>46236.022963818512</v>
      </c>
      <c r="AB56" s="6">
        <f t="shared" si="67"/>
        <v>0.12594172146534346</v>
      </c>
      <c r="AC56" s="7">
        <f t="shared" si="27"/>
        <v>1.1259417214653435</v>
      </c>
      <c r="AD56" s="2">
        <f t="shared" si="28"/>
        <v>0</v>
      </c>
      <c r="AE56" s="2"/>
      <c r="AG56">
        <f t="shared" si="29"/>
        <v>2006</v>
      </c>
      <c r="AH56" s="6">
        <f t="shared" si="49"/>
        <v>0.18894240850187149</v>
      </c>
      <c r="AI56" s="7"/>
      <c r="AJ56" s="6">
        <f t="shared" si="50"/>
        <v>0.2211091413824488</v>
      </c>
      <c r="AK56" s="6">
        <f t="shared" si="51"/>
        <v>9.9264964911131487E-2</v>
      </c>
      <c r="AL56" s="7"/>
      <c r="AM56" s="38">
        <f t="shared" si="68"/>
        <v>0.25165774709715438</v>
      </c>
      <c r="AN56" s="38">
        <f t="shared" si="31"/>
        <v>0.23902573810739389</v>
      </c>
      <c r="AO56" s="6">
        <f t="shared" si="32"/>
        <v>1</v>
      </c>
      <c r="AP56" s="7">
        <f t="shared" si="33"/>
        <v>0.7609742618926062</v>
      </c>
      <c r="AQ56" s="7">
        <f t="shared" si="34"/>
        <v>0</v>
      </c>
      <c r="AR56" s="24"/>
      <c r="AS56">
        <f t="shared" si="35"/>
        <v>2006</v>
      </c>
      <c r="AT56" s="1" t="b">
        <f t="shared" si="36"/>
        <v>1</v>
      </c>
      <c r="AV56" s="1" t="b">
        <f t="shared" si="60"/>
        <v>1</v>
      </c>
      <c r="AW56" s="1" t="b">
        <f t="shared" si="61"/>
        <v>1</v>
      </c>
      <c r="AY56" s="39" t="b">
        <f t="shared" si="69"/>
        <v>0</v>
      </c>
      <c r="AZ56" s="39" t="b">
        <f t="shared" si="38"/>
        <v>0</v>
      </c>
      <c r="BA56" s="1" t="b">
        <f t="shared" si="39"/>
        <v>1</v>
      </c>
      <c r="BC56">
        <f t="shared" si="40"/>
        <v>2006</v>
      </c>
      <c r="BD56" s="27">
        <f>$BK56*BD$37</f>
        <v>82671.6781125126</v>
      </c>
      <c r="BE56" s="2"/>
      <c r="BF56" s="27">
        <f t="shared" ref="BF56:BG60" si="70">$BK56*BF$37</f>
        <v>82671.6781125126</v>
      </c>
      <c r="BG56" s="27">
        <f t="shared" si="70"/>
        <v>41335.8390562563</v>
      </c>
      <c r="BH56" s="2"/>
      <c r="BI56" s="27">
        <f>$BK56*BI$37</f>
        <v>82671.6781125126</v>
      </c>
      <c r="BJ56" s="27">
        <f t="shared" ref="BJ56:BJ60" si="71">$BK56*BJ$37</f>
        <v>124007.51716876889</v>
      </c>
      <c r="BK56" s="2">
        <f t="shared" si="43"/>
        <v>413358.39056256297</v>
      </c>
      <c r="BL56" s="2">
        <f t="shared" si="44"/>
        <v>0</v>
      </c>
      <c r="BM56" s="2"/>
    </row>
    <row r="57" spans="1:65" x14ac:dyDescent="0.3">
      <c r="A57">
        <f t="shared" si="8"/>
        <v>2007</v>
      </c>
      <c r="B57" s="2">
        <f t="shared" si="48"/>
        <v>87127.681562777041</v>
      </c>
      <c r="C57" s="2"/>
      <c r="D57" s="2">
        <f t="shared" si="55"/>
        <v>87649.339851666999</v>
      </c>
      <c r="E57" s="2">
        <f t="shared" si="56"/>
        <v>41813.681355746623</v>
      </c>
      <c r="F57" s="2"/>
      <c r="G57" s="2">
        <f t="shared" si="47"/>
        <v>95503.975989136801</v>
      </c>
      <c r="H57" s="2">
        <f t="shared" si="15"/>
        <v>132588.83735684768</v>
      </c>
      <c r="I57" s="2">
        <f t="shared" si="45"/>
        <v>444683.5161161751</v>
      </c>
      <c r="J57" s="2">
        <f t="shared" si="16"/>
        <v>23583.792241773743</v>
      </c>
      <c r="K57" s="6">
        <f t="shared" si="17"/>
        <v>5.6005242712550259E-2</v>
      </c>
      <c r="L57" s="7">
        <f t="shared" si="18"/>
        <v>1.0560052427125504</v>
      </c>
      <c r="N57">
        <f t="shared" si="19"/>
        <v>2007</v>
      </c>
      <c r="O57" s="2">
        <f t="shared" si="20"/>
        <v>8058.7279776237592</v>
      </c>
      <c r="P57" s="2"/>
      <c r="Q57" s="2"/>
      <c r="R57">
        <f t="shared" si="21"/>
        <v>2007</v>
      </c>
      <c r="S57" s="2">
        <f t="shared" si="57"/>
        <v>85515.935967252284</v>
      </c>
      <c r="T57" s="2"/>
      <c r="U57" s="2">
        <f t="shared" si="58"/>
        <v>86037.594256142242</v>
      </c>
      <c r="V57" s="2">
        <f t="shared" si="58"/>
        <v>40201.935760221873</v>
      </c>
      <c r="W57" s="2"/>
      <c r="X57" s="2">
        <f t="shared" si="59"/>
        <v>93892.230393612044</v>
      </c>
      <c r="Y57" s="2">
        <f t="shared" si="59"/>
        <v>130977.09176132292</v>
      </c>
      <c r="Z57" s="2">
        <f t="shared" si="24"/>
        <v>436624.78813855135</v>
      </c>
      <c r="AA57" s="2">
        <f t="shared" si="66"/>
        <v>23266.397575988376</v>
      </c>
      <c r="AB57" s="6">
        <f t="shared" si="67"/>
        <v>5.6286259350690357E-2</v>
      </c>
      <c r="AC57" s="7">
        <f t="shared" si="27"/>
        <v>1.0562862593506903</v>
      </c>
      <c r="AD57" s="2">
        <f t="shared" si="28"/>
        <v>0</v>
      </c>
      <c r="AE57" s="2"/>
      <c r="AG57">
        <f t="shared" si="29"/>
        <v>2007</v>
      </c>
      <c r="AH57" s="6">
        <f t="shared" si="49"/>
        <v>0.19585680495106489</v>
      </c>
      <c r="AI57" s="7"/>
      <c r="AJ57" s="6">
        <f t="shared" si="50"/>
        <v>0.19705155683657724</v>
      </c>
      <c r="AK57" s="6">
        <f t="shared" si="51"/>
        <v>9.2074332132203299E-2</v>
      </c>
      <c r="AL57" s="7"/>
      <c r="AM57" s="6">
        <f t="shared" si="68"/>
        <v>0.21504099845979846</v>
      </c>
      <c r="AN57" s="6">
        <f t="shared" si="31"/>
        <v>0.29997630762035621</v>
      </c>
      <c r="AO57" s="6">
        <f t="shared" si="32"/>
        <v>1</v>
      </c>
      <c r="AP57" s="7">
        <f t="shared" si="33"/>
        <v>0.7000236923796439</v>
      </c>
      <c r="AQ57" s="7">
        <f t="shared" si="34"/>
        <v>0</v>
      </c>
      <c r="AR57" s="24"/>
      <c r="AS57">
        <f t="shared" si="35"/>
        <v>2007</v>
      </c>
      <c r="AT57" s="1" t="b">
        <f t="shared" si="36"/>
        <v>1</v>
      </c>
      <c r="AV57" s="1" t="b">
        <f t="shared" si="60"/>
        <v>1</v>
      </c>
      <c r="AW57" s="1" t="b">
        <f t="shared" si="61"/>
        <v>1</v>
      </c>
      <c r="AY57" s="1" t="b">
        <f t="shared" si="69"/>
        <v>1</v>
      </c>
      <c r="AZ57" s="1" t="b">
        <f t="shared" si="38"/>
        <v>1</v>
      </c>
      <c r="BA57" s="1" t="b">
        <f t="shared" si="39"/>
        <v>1</v>
      </c>
      <c r="BC57">
        <f t="shared" si="40"/>
        <v>2007</v>
      </c>
      <c r="BD57" s="2">
        <f t="shared" si="41"/>
        <v>85515.935967252284</v>
      </c>
      <c r="BE57" s="2"/>
      <c r="BF57" s="2">
        <f t="shared" si="62"/>
        <v>86037.594256142242</v>
      </c>
      <c r="BG57" s="2">
        <f t="shared" si="63"/>
        <v>40201.935760221873</v>
      </c>
      <c r="BH57" s="2"/>
      <c r="BI57" s="2">
        <f>X57</f>
        <v>93892.230393612044</v>
      </c>
      <c r="BJ57" s="2">
        <f>Y57</f>
        <v>130977.09176132292</v>
      </c>
      <c r="BK57" s="2">
        <f t="shared" si="43"/>
        <v>436624.78813855135</v>
      </c>
      <c r="BL57" s="2">
        <f t="shared" si="44"/>
        <v>0</v>
      </c>
      <c r="BM57" s="2"/>
    </row>
    <row r="58" spans="1:65" x14ac:dyDescent="0.3">
      <c r="A58">
        <f t="shared" si="8"/>
        <v>2008</v>
      </c>
      <c r="B58" s="2">
        <f t="shared" si="48"/>
        <v>53857.936472175483</v>
      </c>
      <c r="C58" s="2"/>
      <c r="D58" s="2">
        <f t="shared" si="55"/>
        <v>50053.230834453316</v>
      </c>
      <c r="E58" s="2">
        <f t="shared" si="56"/>
        <v>25701.097531509844</v>
      </c>
      <c r="F58" s="2"/>
      <c r="G58" s="2">
        <f t="shared" si="47"/>
        <v>52484.817867725193</v>
      </c>
      <c r="H58" s="2">
        <f t="shared" si="15"/>
        <v>137591.43489526972</v>
      </c>
      <c r="I58" s="2">
        <f t="shared" si="45"/>
        <v>319688.51760113356</v>
      </c>
      <c r="J58" s="2">
        <f t="shared" si="16"/>
        <v>-124994.99851504155</v>
      </c>
      <c r="K58" s="6">
        <f t="shared" si="17"/>
        <v>-0.28108754650214235</v>
      </c>
      <c r="L58" s="7">
        <f t="shared" si="18"/>
        <v>0.71891245349785771</v>
      </c>
      <c r="N58">
        <f t="shared" si="19"/>
        <v>2008</v>
      </c>
      <c r="O58" s="2">
        <f t="shared" si="20"/>
        <v>8058.7279776237592</v>
      </c>
      <c r="P58" s="2"/>
      <c r="Q58" s="2"/>
      <c r="R58">
        <f t="shared" si="21"/>
        <v>2008</v>
      </c>
      <c r="S58" s="2">
        <f t="shared" si="57"/>
        <v>52246.190876650733</v>
      </c>
      <c r="T58" s="2"/>
      <c r="U58" s="2">
        <f t="shared" si="58"/>
        <v>48441.485238928566</v>
      </c>
      <c r="V58" s="2">
        <f t="shared" si="58"/>
        <v>24089.351935985091</v>
      </c>
      <c r="W58" s="2"/>
      <c r="X58" s="2">
        <f t="shared" si="59"/>
        <v>50873.072272200443</v>
      </c>
      <c r="Y58" s="2">
        <f t="shared" si="59"/>
        <v>135979.68929974496</v>
      </c>
      <c r="Z58" s="2">
        <f t="shared" si="24"/>
        <v>311629.7896235098</v>
      </c>
      <c r="AA58" s="2">
        <f t="shared" si="66"/>
        <v>-124994.99851504155</v>
      </c>
      <c r="AB58" s="6">
        <f t="shared" si="67"/>
        <v>-0.28627554346588696</v>
      </c>
      <c r="AC58" s="7">
        <f t="shared" si="27"/>
        <v>0.71372445653411298</v>
      </c>
      <c r="AD58" s="2">
        <f t="shared" si="28"/>
        <v>0</v>
      </c>
      <c r="AE58" s="2"/>
      <c r="AG58">
        <f t="shared" si="29"/>
        <v>2008</v>
      </c>
      <c r="AH58" s="6">
        <f t="shared" si="49"/>
        <v>0.16765467428441638</v>
      </c>
      <c r="AI58" s="7"/>
      <c r="AJ58" s="6">
        <f t="shared" si="50"/>
        <v>0.1554456180118477</v>
      </c>
      <c r="AK58" s="6">
        <f t="shared" si="51"/>
        <v>7.7301184732975078E-2</v>
      </c>
      <c r="AL58" s="7"/>
      <c r="AM58" s="6">
        <f t="shared" si="68"/>
        <v>0.16324842478526164</v>
      </c>
      <c r="AN58" s="38">
        <f t="shared" si="31"/>
        <v>0.43635009818549919</v>
      </c>
      <c r="AO58" s="6">
        <f t="shared" si="32"/>
        <v>1</v>
      </c>
      <c r="AP58" s="7">
        <f t="shared" si="33"/>
        <v>0.56364990181450081</v>
      </c>
      <c r="AQ58" s="7">
        <f t="shared" si="34"/>
        <v>0</v>
      </c>
      <c r="AR58" s="24"/>
      <c r="AS58">
        <f t="shared" si="35"/>
        <v>2008</v>
      </c>
      <c r="AT58" s="1" t="b">
        <f t="shared" si="36"/>
        <v>1</v>
      </c>
      <c r="AV58" s="1" t="b">
        <f t="shared" si="60"/>
        <v>1</v>
      </c>
      <c r="AW58" s="1" t="b">
        <f t="shared" si="61"/>
        <v>1</v>
      </c>
      <c r="AY58" s="1" t="b">
        <f t="shared" si="69"/>
        <v>1</v>
      </c>
      <c r="AZ58" s="39" t="b">
        <f t="shared" si="38"/>
        <v>0</v>
      </c>
      <c r="BA58" s="1" t="b">
        <f t="shared" si="39"/>
        <v>1</v>
      </c>
      <c r="BC58">
        <f t="shared" si="40"/>
        <v>2008</v>
      </c>
      <c r="BD58" s="27">
        <f>$BK58*BD$37</f>
        <v>62325.957924701965</v>
      </c>
      <c r="BE58" s="2"/>
      <c r="BF58" s="27">
        <f t="shared" si="70"/>
        <v>62325.957924701965</v>
      </c>
      <c r="BG58" s="27">
        <f t="shared" si="70"/>
        <v>31162.978962350982</v>
      </c>
      <c r="BH58" s="2"/>
      <c r="BI58" s="27">
        <f>$BK58*BI$37</f>
        <v>62325.957924701965</v>
      </c>
      <c r="BJ58" s="27">
        <f t="shared" si="71"/>
        <v>93488.936887052943</v>
      </c>
      <c r="BK58" s="2">
        <f t="shared" si="43"/>
        <v>311629.7896235098</v>
      </c>
      <c r="BL58" s="2">
        <f t="shared" si="44"/>
        <v>0</v>
      </c>
      <c r="BM58" s="2"/>
    </row>
    <row r="59" spans="1:65" x14ac:dyDescent="0.3">
      <c r="A59">
        <f t="shared" si="8"/>
        <v>2009</v>
      </c>
      <c r="B59" s="2">
        <f t="shared" si="48"/>
        <v>78836.104178955517</v>
      </c>
      <c r="C59" s="2"/>
      <c r="D59" s="2">
        <f t="shared" si="55"/>
        <v>87392.2116828586</v>
      </c>
      <c r="E59" s="2">
        <f t="shared" si="56"/>
        <v>42418.423703972912</v>
      </c>
      <c r="F59" s="2"/>
      <c r="G59" s="2">
        <f t="shared" si="47"/>
        <v>85216.412491707248</v>
      </c>
      <c r="H59" s="2">
        <f t="shared" si="15"/>
        <v>99032.83084445518</v>
      </c>
      <c r="I59" s="2">
        <f t="shared" si="45"/>
        <v>392895.98290194944</v>
      </c>
      <c r="J59" s="2">
        <f t="shared" si="16"/>
        <v>73207.465300815878</v>
      </c>
      <c r="K59" s="6">
        <f t="shared" si="17"/>
        <v>0.22899622998707383</v>
      </c>
      <c r="L59" s="7">
        <f t="shared" si="18"/>
        <v>1.2289962299870738</v>
      </c>
      <c r="N59">
        <f t="shared" si="19"/>
        <v>2009</v>
      </c>
      <c r="O59" s="2">
        <f t="shared" si="20"/>
        <v>8284.372360997224</v>
      </c>
      <c r="P59" s="2"/>
      <c r="Q59" s="2"/>
      <c r="R59">
        <f t="shared" si="21"/>
        <v>2009</v>
      </c>
      <c r="S59" s="2">
        <f t="shared" si="57"/>
        <v>77179.229706756072</v>
      </c>
      <c r="T59" s="2"/>
      <c r="U59" s="2">
        <f t="shared" si="58"/>
        <v>85735.337210659156</v>
      </c>
      <c r="V59" s="2">
        <f t="shared" si="58"/>
        <v>40761.549231773468</v>
      </c>
      <c r="W59" s="2"/>
      <c r="X59" s="2">
        <f t="shared" si="59"/>
        <v>83559.538019507803</v>
      </c>
      <c r="Y59" s="2">
        <f t="shared" si="59"/>
        <v>97375.956372255736</v>
      </c>
      <c r="Z59" s="2">
        <f t="shared" si="24"/>
        <v>384611.61054095224</v>
      </c>
      <c r="AA59" s="2">
        <f t="shared" si="66"/>
        <v>72981.820917442441</v>
      </c>
      <c r="AB59" s="6">
        <f t="shared" si="67"/>
        <v>0.23419398063841773</v>
      </c>
      <c r="AC59" s="7">
        <f t="shared" si="27"/>
        <v>1.2341939806384177</v>
      </c>
      <c r="AD59" s="2">
        <f t="shared" si="28"/>
        <v>0</v>
      </c>
      <c r="AE59" s="2"/>
      <c r="AG59">
        <f t="shared" si="29"/>
        <v>2009</v>
      </c>
      <c r="AH59" s="6">
        <f t="shared" si="49"/>
        <v>0.20066796631075251</v>
      </c>
      <c r="AI59" s="7"/>
      <c r="AJ59" s="6">
        <f t="shared" si="50"/>
        <v>0.22291406411281575</v>
      </c>
      <c r="AK59" s="6">
        <f t="shared" si="51"/>
        <v>0.10598106795175208</v>
      </c>
      <c r="AL59" s="7"/>
      <c r="AM59" s="6">
        <f t="shared" si="68"/>
        <v>0.21725693070467161</v>
      </c>
      <c r="AN59" s="6">
        <f t="shared" si="31"/>
        <v>0.25317997092000799</v>
      </c>
      <c r="AO59" s="6">
        <f t="shared" si="32"/>
        <v>1</v>
      </c>
      <c r="AP59" s="7">
        <f t="shared" si="33"/>
        <v>0.74682002907999201</v>
      </c>
      <c r="AQ59" s="7">
        <f t="shared" si="34"/>
        <v>0</v>
      </c>
      <c r="AR59" s="24"/>
      <c r="AS59">
        <f t="shared" si="35"/>
        <v>2009</v>
      </c>
      <c r="AT59" s="1" t="b">
        <f t="shared" si="36"/>
        <v>1</v>
      </c>
      <c r="AV59" s="1" t="b">
        <f t="shared" si="60"/>
        <v>1</v>
      </c>
      <c r="AW59" s="1" t="b">
        <f t="shared" si="61"/>
        <v>1</v>
      </c>
      <c r="AY59" s="1" t="b">
        <f t="shared" si="69"/>
        <v>1</v>
      </c>
      <c r="AZ59" s="1" t="b">
        <f t="shared" si="38"/>
        <v>1</v>
      </c>
      <c r="BA59" s="1" t="b">
        <f t="shared" si="39"/>
        <v>1</v>
      </c>
      <c r="BC59">
        <f t="shared" si="40"/>
        <v>2009</v>
      </c>
      <c r="BD59" s="2">
        <f t="shared" si="41"/>
        <v>77179.229706756072</v>
      </c>
      <c r="BE59" s="2"/>
      <c r="BF59" s="2">
        <f t="shared" si="62"/>
        <v>85735.337210659156</v>
      </c>
      <c r="BG59" s="2">
        <f t="shared" si="63"/>
        <v>40761.549231773468</v>
      </c>
      <c r="BH59" s="2"/>
      <c r="BI59" s="2">
        <f>X59</f>
        <v>83559.538019507803</v>
      </c>
      <c r="BJ59" s="2">
        <f>Y59</f>
        <v>97375.956372255736</v>
      </c>
      <c r="BK59" s="2">
        <f t="shared" si="43"/>
        <v>384611.61054095224</v>
      </c>
      <c r="BL59" s="2">
        <f t="shared" si="44"/>
        <v>0</v>
      </c>
      <c r="BM59" s="2"/>
    </row>
    <row r="60" spans="1:65" x14ac:dyDescent="0.3">
      <c r="A60">
        <f t="shared" si="8"/>
        <v>2010</v>
      </c>
      <c r="B60" s="2">
        <f t="shared" si="48"/>
        <v>88686.652856033397</v>
      </c>
      <c r="C60" s="2"/>
      <c r="D60" s="2">
        <f t="shared" si="55"/>
        <v>107563.55406449297</v>
      </c>
      <c r="E60" s="2">
        <f t="shared" si="56"/>
        <v>52060.650678821075</v>
      </c>
      <c r="F60" s="2"/>
      <c r="G60" s="2">
        <f t="shared" si="47"/>
        <v>92851.358647277069</v>
      </c>
      <c r="H60" s="2">
        <f t="shared" si="15"/>
        <v>103627.49277135456</v>
      </c>
      <c r="I60" s="2">
        <f t="shared" si="45"/>
        <v>444789.7090179791</v>
      </c>
      <c r="J60" s="2">
        <f t="shared" si="16"/>
        <v>51893.726116029662</v>
      </c>
      <c r="K60" s="6">
        <f t="shared" si="17"/>
        <v>0.13208006285210655</v>
      </c>
      <c r="L60" s="7">
        <f t="shared" si="18"/>
        <v>1.1320800628521066</v>
      </c>
      <c r="N60">
        <f t="shared" si="19"/>
        <v>2010</v>
      </c>
      <c r="O60" s="2">
        <f t="shared" si="20"/>
        <v>8400.3535740511852</v>
      </c>
      <c r="P60" s="2"/>
      <c r="Q60" s="2"/>
      <c r="R60">
        <f t="shared" si="21"/>
        <v>2010</v>
      </c>
      <c r="S60" s="2">
        <f t="shared" si="57"/>
        <v>87006.58214122316</v>
      </c>
      <c r="T60" s="2"/>
      <c r="U60" s="2">
        <f t="shared" si="58"/>
        <v>105883.48334968273</v>
      </c>
      <c r="V60" s="2">
        <f t="shared" si="58"/>
        <v>50380.579964010838</v>
      </c>
      <c r="W60" s="2"/>
      <c r="X60" s="2">
        <f t="shared" si="59"/>
        <v>91171.287932466832</v>
      </c>
      <c r="Y60" s="2">
        <f t="shared" si="59"/>
        <v>101947.42205654432</v>
      </c>
      <c r="Z60" s="2">
        <f t="shared" si="24"/>
        <v>436389.35544392793</v>
      </c>
      <c r="AA60" s="2">
        <f t="shared" si="66"/>
        <v>51777.744902975683</v>
      </c>
      <c r="AB60" s="6">
        <f t="shared" si="67"/>
        <v>0.13462345775300652</v>
      </c>
      <c r="AC60" s="7">
        <f t="shared" si="27"/>
        <v>1.1346234577530065</v>
      </c>
      <c r="AD60" s="2">
        <f t="shared" si="28"/>
        <v>0</v>
      </c>
      <c r="AE60" s="2"/>
      <c r="AG60">
        <f t="shared" si="29"/>
        <v>2010</v>
      </c>
      <c r="AH60" s="6">
        <f t="shared" si="49"/>
        <v>0.19937833280262657</v>
      </c>
      <c r="AI60" s="7"/>
      <c r="AJ60" s="6">
        <f t="shared" si="50"/>
        <v>0.24263534852258284</v>
      </c>
      <c r="AK60" s="6">
        <f t="shared" si="51"/>
        <v>0.11544869125590825</v>
      </c>
      <c r="AL60" s="7"/>
      <c r="AM60" s="6">
        <f t="shared" si="68"/>
        <v>0.20892188774797354</v>
      </c>
      <c r="AN60" s="38">
        <f t="shared" si="31"/>
        <v>0.23361573967090873</v>
      </c>
      <c r="AO60" s="6">
        <f t="shared" si="32"/>
        <v>0.99999999999999989</v>
      </c>
      <c r="AP60" s="7">
        <f t="shared" si="33"/>
        <v>0.76638426032909113</v>
      </c>
      <c r="AQ60" s="7">
        <f t="shared" si="34"/>
        <v>0</v>
      </c>
      <c r="AR60" s="24"/>
      <c r="AS60">
        <f t="shared" si="35"/>
        <v>2010</v>
      </c>
      <c r="AT60" s="1" t="b">
        <f t="shared" si="36"/>
        <v>1</v>
      </c>
      <c r="AV60" s="1" t="b">
        <f t="shared" si="60"/>
        <v>1</v>
      </c>
      <c r="AW60" s="1" t="b">
        <f t="shared" si="61"/>
        <v>1</v>
      </c>
      <c r="AY60" s="1" t="b">
        <f t="shared" si="69"/>
        <v>1</v>
      </c>
      <c r="AZ60" s="39" t="b">
        <f t="shared" si="38"/>
        <v>0</v>
      </c>
      <c r="BA60" s="1" t="b">
        <f t="shared" si="39"/>
        <v>1</v>
      </c>
      <c r="BC60">
        <f t="shared" si="40"/>
        <v>2010</v>
      </c>
      <c r="BD60" s="27">
        <f>$BK60*BD$37</f>
        <v>87277.871088785585</v>
      </c>
      <c r="BE60" s="2"/>
      <c r="BF60" s="27">
        <f t="shared" si="70"/>
        <v>87277.871088785585</v>
      </c>
      <c r="BG60" s="27">
        <f t="shared" si="70"/>
        <v>43638.935544392793</v>
      </c>
      <c r="BH60" s="2"/>
      <c r="BI60" s="27">
        <f>$BK60*BI$37</f>
        <v>87277.871088785585</v>
      </c>
      <c r="BJ60" s="27">
        <f t="shared" si="71"/>
        <v>130916.80663317838</v>
      </c>
      <c r="BK60" s="2">
        <f t="shared" si="43"/>
        <v>436389.35544392793</v>
      </c>
      <c r="BL60" s="2">
        <f t="shared" si="44"/>
        <v>0</v>
      </c>
      <c r="BM60" s="2"/>
    </row>
    <row r="61" spans="1:65" x14ac:dyDescent="0.3">
      <c r="A61">
        <f t="shared" si="8"/>
        <v>2011</v>
      </c>
      <c r="B61" s="2">
        <f t="shared" si="48"/>
        <v>88997.245149234659</v>
      </c>
      <c r="C61" s="2"/>
      <c r="D61" s="2">
        <f t="shared" si="55"/>
        <v>85436.308008812208</v>
      </c>
      <c r="E61" s="2">
        <f t="shared" si="56"/>
        <v>42417.04534914979</v>
      </c>
      <c r="F61" s="2"/>
      <c r="G61" s="2">
        <f t="shared" si="47"/>
        <v>74570.213058258407</v>
      </c>
      <c r="H61" s="2">
        <f t="shared" si="15"/>
        <v>140814.11721464669</v>
      </c>
      <c r="I61" s="2">
        <f t="shared" si="45"/>
        <v>432234.92878010171</v>
      </c>
      <c r="J61" s="2">
        <f t="shared" si="16"/>
        <v>-12554.780237877392</v>
      </c>
      <c r="K61" s="6">
        <f t="shared" si="17"/>
        <v>-2.8226328045215427E-2</v>
      </c>
      <c r="L61" s="7">
        <f t="shared" si="18"/>
        <v>0.97177367195478459</v>
      </c>
      <c r="N61">
        <f t="shared" si="19"/>
        <v>2011</v>
      </c>
      <c r="O61" s="2">
        <f t="shared" si="20"/>
        <v>8652.3641812727201</v>
      </c>
      <c r="P61" s="2"/>
      <c r="Q61" s="2"/>
      <c r="R61">
        <f t="shared" si="21"/>
        <v>2011</v>
      </c>
      <c r="S61" s="2">
        <f t="shared" si="57"/>
        <v>87266.772312980116</v>
      </c>
      <c r="T61" s="2"/>
      <c r="U61" s="2">
        <f t="shared" si="58"/>
        <v>83705.835172557665</v>
      </c>
      <c r="V61" s="2">
        <f t="shared" si="58"/>
        <v>40686.572512895247</v>
      </c>
      <c r="W61" s="2"/>
      <c r="X61" s="2">
        <f t="shared" si="59"/>
        <v>72839.740222003864</v>
      </c>
      <c r="Y61" s="2">
        <f t="shared" si="59"/>
        <v>139083.64437839214</v>
      </c>
      <c r="Z61" s="2">
        <f t="shared" si="24"/>
        <v>423582.56459882902</v>
      </c>
      <c r="AA61" s="2">
        <f t="shared" si="66"/>
        <v>-12806.790845098905</v>
      </c>
      <c r="AB61" s="6">
        <f t="shared" si="67"/>
        <v>-2.9347165977664322E-2</v>
      </c>
      <c r="AC61" s="7">
        <f t="shared" si="27"/>
        <v>0.97065283402233571</v>
      </c>
      <c r="AD61" s="2">
        <f t="shared" si="28"/>
        <v>0</v>
      </c>
      <c r="AE61" s="2"/>
      <c r="AG61">
        <f t="shared" si="29"/>
        <v>2011</v>
      </c>
      <c r="AH61" s="6">
        <f t="shared" si="49"/>
        <v>0.2060206901944362</v>
      </c>
      <c r="AI61" s="7"/>
      <c r="AJ61" s="6">
        <f t="shared" si="50"/>
        <v>0.19761397698659919</v>
      </c>
      <c r="AK61" s="6">
        <f t="shared" si="51"/>
        <v>9.6053463747803478E-2</v>
      </c>
      <c r="AL61" s="7"/>
      <c r="AM61" s="6">
        <f t="shared" si="68"/>
        <v>0.17196113888915537</v>
      </c>
      <c r="AN61" s="6">
        <f t="shared" si="31"/>
        <v>0.32835073018200578</v>
      </c>
      <c r="AO61" s="6">
        <f t="shared" si="32"/>
        <v>1</v>
      </c>
      <c r="AP61" s="7">
        <f t="shared" si="33"/>
        <v>0.67164926981799422</v>
      </c>
      <c r="AQ61" s="7">
        <f t="shared" si="34"/>
        <v>0</v>
      </c>
      <c r="AR61" s="24"/>
      <c r="AS61">
        <f t="shared" si="35"/>
        <v>2011</v>
      </c>
      <c r="AT61" s="1" t="b">
        <f t="shared" si="36"/>
        <v>1</v>
      </c>
      <c r="AV61" s="1" t="b">
        <f t="shared" si="60"/>
        <v>1</v>
      </c>
      <c r="AW61" s="1" t="b">
        <f t="shared" si="61"/>
        <v>1</v>
      </c>
      <c r="AY61" s="1" t="b">
        <f t="shared" si="69"/>
        <v>1</v>
      </c>
      <c r="AZ61" s="1" t="b">
        <f t="shared" si="38"/>
        <v>1</v>
      </c>
      <c r="BA61" s="1" t="b">
        <f t="shared" si="39"/>
        <v>1</v>
      </c>
      <c r="BC61">
        <f t="shared" si="40"/>
        <v>2011</v>
      </c>
      <c r="BD61" s="2">
        <f t="shared" si="41"/>
        <v>87266.772312980116</v>
      </c>
      <c r="BE61" s="2"/>
      <c r="BF61" s="2">
        <f t="shared" si="62"/>
        <v>83705.835172557665</v>
      </c>
      <c r="BG61" s="2">
        <f t="shared" si="63"/>
        <v>40686.572512895247</v>
      </c>
      <c r="BH61" s="2"/>
      <c r="BI61" s="2">
        <f>X61</f>
        <v>72839.740222003864</v>
      </c>
      <c r="BJ61" s="2">
        <f t="shared" ref="BJ61:BJ62" si="72">Y61</f>
        <v>139083.64437839214</v>
      </c>
      <c r="BK61" s="2">
        <f t="shared" si="43"/>
        <v>423582.56459882902</v>
      </c>
      <c r="BL61" s="2">
        <f t="shared" si="44"/>
        <v>0</v>
      </c>
      <c r="BM61" s="2"/>
    </row>
    <row r="62" spans="1:65" x14ac:dyDescent="0.3">
      <c r="A62">
        <f t="shared" si="8"/>
        <v>2012</v>
      </c>
      <c r="B62" s="2">
        <f t="shared" si="48"/>
        <v>101072.37569289356</v>
      </c>
      <c r="C62" s="2"/>
      <c r="D62" s="2">
        <f t="shared" si="55"/>
        <v>96931.357129821772</v>
      </c>
      <c r="E62" s="2">
        <f t="shared" si="56"/>
        <v>48026.430194221553</v>
      </c>
      <c r="F62" s="2"/>
      <c r="G62" s="2">
        <f t="shared" si="47"/>
        <v>86052.869098275361</v>
      </c>
      <c r="H62" s="2">
        <f t="shared" si="15"/>
        <v>144716.53197571702</v>
      </c>
      <c r="I62" s="2">
        <f t="shared" si="45"/>
        <v>476799.56409092923</v>
      </c>
      <c r="J62" s="2">
        <f t="shared" si="16"/>
        <v>44564.635310827522</v>
      </c>
      <c r="K62" s="6">
        <f t="shared" si="17"/>
        <v>0.10310280901315047</v>
      </c>
      <c r="L62" s="7">
        <f t="shared" si="18"/>
        <v>1.1031028090131505</v>
      </c>
      <c r="N62">
        <f t="shared" si="19"/>
        <v>2012</v>
      </c>
      <c r="O62" s="2">
        <f t="shared" si="20"/>
        <v>8808.1067365356284</v>
      </c>
      <c r="P62" s="2"/>
      <c r="Q62" s="2"/>
      <c r="R62">
        <f t="shared" si="21"/>
        <v>2012</v>
      </c>
      <c r="S62" s="2">
        <f t="shared" si="57"/>
        <v>99310.754345586436</v>
      </c>
      <c r="T62" s="2"/>
      <c r="U62" s="2">
        <f t="shared" si="58"/>
        <v>95169.735782514646</v>
      </c>
      <c r="V62" s="2">
        <f t="shared" si="58"/>
        <v>46264.808846914428</v>
      </c>
      <c r="W62" s="2"/>
      <c r="X62" s="2">
        <f t="shared" si="59"/>
        <v>84291.247750968236</v>
      </c>
      <c r="Y62" s="2">
        <f t="shared" si="59"/>
        <v>142954.91062840988</v>
      </c>
      <c r="Z62" s="2">
        <f t="shared" si="24"/>
        <v>467991.45735439361</v>
      </c>
      <c r="AA62" s="2">
        <f t="shared" si="66"/>
        <v>44408.892755564593</v>
      </c>
      <c r="AB62" s="6">
        <f t="shared" si="67"/>
        <v>0.10484117257664707</v>
      </c>
      <c r="AC62" s="7">
        <f t="shared" si="27"/>
        <v>1.1048411725766472</v>
      </c>
      <c r="AD62" s="2">
        <f t="shared" si="28"/>
        <v>0</v>
      </c>
      <c r="AE62" s="2"/>
      <c r="AG62">
        <f t="shared" si="29"/>
        <v>2012</v>
      </c>
      <c r="AH62" s="6">
        <f t="shared" si="49"/>
        <v>0.21220634006227568</v>
      </c>
      <c r="AI62" s="7"/>
      <c r="AJ62" s="6">
        <f t="shared" si="50"/>
        <v>0.20335784828321327</v>
      </c>
      <c r="AK62" s="6">
        <f t="shared" si="51"/>
        <v>9.8858233670448603E-2</v>
      </c>
      <c r="AL62" s="7"/>
      <c r="AM62" s="6">
        <f t="shared" si="68"/>
        <v>0.1801127914331509</v>
      </c>
      <c r="AN62" s="6">
        <f t="shared" si="31"/>
        <v>0.30546478655091158</v>
      </c>
      <c r="AO62" s="6">
        <f t="shared" si="32"/>
        <v>0.99999999999999989</v>
      </c>
      <c r="AP62" s="7">
        <f t="shared" si="33"/>
        <v>0.69453521344908831</v>
      </c>
      <c r="AQ62" s="7">
        <f t="shared" si="34"/>
        <v>0</v>
      </c>
      <c r="AR62" s="24"/>
      <c r="AS62">
        <f t="shared" si="35"/>
        <v>2012</v>
      </c>
      <c r="AT62" s="1" t="b">
        <f t="shared" si="36"/>
        <v>1</v>
      </c>
      <c r="AV62" s="1" t="b">
        <f t="shared" si="60"/>
        <v>1</v>
      </c>
      <c r="AW62" s="1" t="b">
        <f t="shared" si="61"/>
        <v>1</v>
      </c>
      <c r="AY62" s="1" t="b">
        <f t="shared" si="69"/>
        <v>1</v>
      </c>
      <c r="AZ62" s="1" t="b">
        <f t="shared" si="38"/>
        <v>1</v>
      </c>
      <c r="BA62" s="1" t="b">
        <f t="shared" si="39"/>
        <v>1</v>
      </c>
      <c r="BC62">
        <f t="shared" si="40"/>
        <v>2012</v>
      </c>
      <c r="BD62" s="2">
        <f t="shared" si="41"/>
        <v>99310.754345586436</v>
      </c>
      <c r="BE62" s="2"/>
      <c r="BF62" s="2">
        <f t="shared" si="62"/>
        <v>95169.735782514646</v>
      </c>
      <c r="BG62" s="2">
        <f t="shared" si="63"/>
        <v>46264.808846914428</v>
      </c>
      <c r="BH62" s="2"/>
      <c r="BI62" s="2">
        <f>X62</f>
        <v>84291.247750968236</v>
      </c>
      <c r="BJ62" s="2">
        <f t="shared" si="72"/>
        <v>142954.91062840988</v>
      </c>
      <c r="BK62" s="2">
        <f t="shared" si="43"/>
        <v>467991.45735439361</v>
      </c>
      <c r="BL62" s="2">
        <f t="shared" si="44"/>
        <v>0</v>
      </c>
      <c r="BM62" s="2"/>
    </row>
    <row r="63" spans="1:65" x14ac:dyDescent="0.3">
      <c r="A63">
        <f t="shared" si="8"/>
        <v>2013</v>
      </c>
      <c r="B63" s="2">
        <f t="shared" si="48"/>
        <v>131268.95509399616</v>
      </c>
      <c r="C63" s="2"/>
      <c r="D63" s="2">
        <f t="shared" si="55"/>
        <v>128479.14330639478</v>
      </c>
      <c r="E63" s="2">
        <f t="shared" si="56"/>
        <v>63669.62993512363</v>
      </c>
      <c r="F63" s="2"/>
      <c r="G63" s="2">
        <f t="shared" si="47"/>
        <v>96968.651412713851</v>
      </c>
      <c r="H63" s="2">
        <f t="shared" si="15"/>
        <v>139724.12964820783</v>
      </c>
      <c r="I63" s="2">
        <f t="shared" ref="I63:I64" si="73">SUM(B63:H63)</f>
        <v>560110.50939643627</v>
      </c>
      <c r="J63" s="2">
        <f t="shared" ref="J63:J64" si="74">I63-I62</f>
        <v>83310.945305507048</v>
      </c>
      <c r="K63" s="6">
        <f t="shared" ref="K63:K64" si="75">(J63/I62)</f>
        <v>0.17472949134160498</v>
      </c>
      <c r="L63" s="7">
        <f t="shared" ref="L63:L64" si="76">K63+1</f>
        <v>1.1747294913416049</v>
      </c>
      <c r="N63">
        <f t="shared" ref="N63:N64" si="77">A63</f>
        <v>2013</v>
      </c>
      <c r="O63" s="2">
        <f t="shared" si="20"/>
        <v>8909.892487381605</v>
      </c>
      <c r="P63" s="2"/>
      <c r="Q63" s="2"/>
      <c r="R63">
        <f t="shared" ref="R63:R64" si="78">A63</f>
        <v>2013</v>
      </c>
      <c r="S63" s="2">
        <f t="shared" ref="S63:S64" si="79">B63-($O63/5)</f>
        <v>129486.97659651985</v>
      </c>
      <c r="T63" s="2"/>
      <c r="U63" s="2">
        <f t="shared" ref="U63:U64" si="80">D63-($O63/5)</f>
        <v>126697.16480891846</v>
      </c>
      <c r="V63" s="2">
        <f t="shared" ref="V63:V64" si="81">E63-($O63/5)</f>
        <v>61887.651437647306</v>
      </c>
      <c r="W63" s="2"/>
      <c r="X63" s="2">
        <f t="shared" ref="X63:X64" si="82">G63-($O63/5)</f>
        <v>95186.672915237534</v>
      </c>
      <c r="Y63" s="2">
        <f t="shared" ref="Y63:Y64" si="83">H63-($O63/5)</f>
        <v>137942.15115073152</v>
      </c>
      <c r="Z63" s="2">
        <f t="shared" ref="Z63:Z64" si="84">SUM(S63:Y63)</f>
        <v>551200.61690905469</v>
      </c>
      <c r="AA63" s="2">
        <f t="shared" ref="AA63:AA64" si="85">Z63-Z62</f>
        <v>83209.159554661077</v>
      </c>
      <c r="AB63" s="6">
        <f t="shared" ref="AB63:AB64" si="86">(AA63/Z62)</f>
        <v>0.17780059496182146</v>
      </c>
      <c r="AC63" s="7">
        <f t="shared" ref="AC63:AC64" si="87">AB63+1</f>
        <v>1.1778005949618215</v>
      </c>
      <c r="AD63" s="2">
        <f t="shared" ref="AD63:AD64" si="88">Z63-(I63-O63)</f>
        <v>0</v>
      </c>
      <c r="AE63" s="2"/>
      <c r="AG63">
        <f t="shared" ref="AG63:AG64" si="89">A63</f>
        <v>2013</v>
      </c>
      <c r="AH63" s="6">
        <f t="shared" ref="AH63:AH64" si="90">S63/$Z63</f>
        <v>0.2349180545599508</v>
      </c>
      <c r="AI63" s="7"/>
      <c r="AJ63" s="6">
        <f t="shared" ref="AJ63:AJ64" si="91">U63/$Z63</f>
        <v>0.22985671808459324</v>
      </c>
      <c r="AK63" s="6">
        <f t="shared" ref="AK63:AK64" si="92">V63/$Z63</f>
        <v>0.11227790669882079</v>
      </c>
      <c r="AL63" s="7"/>
      <c r="AM63" s="6">
        <f t="shared" ref="AM63:AM64" si="93">X63/$Z63</f>
        <v>0.17268970678772452</v>
      </c>
      <c r="AN63" s="6">
        <f t="shared" ref="AN63:AN64" si="94">Y63/$Z63</f>
        <v>0.2502576138689106</v>
      </c>
      <c r="AO63" s="6">
        <f t="shared" ref="AO63:AO64" si="95">SUM(AH63:AN63)</f>
        <v>1</v>
      </c>
      <c r="AP63" s="7">
        <f t="shared" ref="AP63:AP64" si="96">SUM(AH63:AM63)</f>
        <v>0.74974238613108934</v>
      </c>
      <c r="AQ63" s="7">
        <f t="shared" ref="AQ63:AQ64" si="97">AO63-(AP63+AN63)</f>
        <v>0</v>
      </c>
      <c r="AR63" s="24"/>
      <c r="AS63">
        <f t="shared" ref="AS63:AS64" si="98">AG63</f>
        <v>2013</v>
      </c>
      <c r="AT63" s="1" t="b">
        <f t="shared" ref="AT63:AT64" si="99">AND((S63/$Z63)&gt;0.15,(S63/$Z63)&lt;0.25)</f>
        <v>1</v>
      </c>
      <c r="AV63" s="1" t="b">
        <f t="shared" ref="AV63:AV64" si="100">AND((U63/$Z63)&gt;0.15,(U63/$Z63)&lt;0.25)</f>
        <v>1</v>
      </c>
      <c r="AW63" s="1" t="b">
        <f t="shared" ref="AW63:AW64" si="101">AND((V63/$Z63)&gt;0.05,(V63/$Z63)&lt;0.15)</f>
        <v>1</v>
      </c>
      <c r="AY63" s="1" t="b">
        <f t="shared" ref="AY63:AY64" si="102">AND((X63/$Z63)&gt;0.15,(X63/$Z63)&lt;0.25)</f>
        <v>1</v>
      </c>
      <c r="AZ63" s="1" t="b">
        <f t="shared" ref="AZ63:AZ64" si="103">AND((Y63/$Z63)&gt;0.25,(Y63/$Z63)&lt;0.35)</f>
        <v>1</v>
      </c>
      <c r="BA63" s="1" t="b">
        <f t="shared" ref="BA63:BA64" si="104">AND((Z63/$Z63)&gt;0.999,(Z63/$Z63)&lt;1.01)</f>
        <v>1</v>
      </c>
      <c r="BC63">
        <f t="shared" ref="BC63:BC64" si="105">AS63</f>
        <v>2013</v>
      </c>
      <c r="BD63" s="2">
        <f t="shared" ref="BD63" si="106">S63</f>
        <v>129486.97659651985</v>
      </c>
      <c r="BE63" s="2"/>
      <c r="BF63" s="2">
        <f t="shared" ref="BF63" si="107">U63</f>
        <v>126697.16480891846</v>
      </c>
      <c r="BG63" s="2">
        <f t="shared" ref="BG63" si="108">V63</f>
        <v>61887.651437647306</v>
      </c>
      <c r="BH63" s="2"/>
      <c r="BI63" s="2">
        <f t="shared" ref="BI63" si="109">X63</f>
        <v>95186.672915237534</v>
      </c>
      <c r="BJ63" s="2">
        <f t="shared" ref="BJ63" si="110">Y63</f>
        <v>137942.15115073152</v>
      </c>
      <c r="BK63" s="2">
        <f t="shared" ref="BK63:BK64" si="111">Z63</f>
        <v>551200.61690905469</v>
      </c>
      <c r="BL63" s="2">
        <f t="shared" ref="BL63:BL64" si="112">SUM(BD63:BJ63)-Z63</f>
        <v>0</v>
      </c>
      <c r="BM63" s="2"/>
    </row>
    <row r="64" spans="1:65" x14ac:dyDescent="0.3">
      <c r="A64">
        <f t="shared" si="8"/>
        <v>2014</v>
      </c>
      <c r="B64" s="2">
        <f t="shared" si="48"/>
        <v>146980.66713470969</v>
      </c>
      <c r="C64" s="2"/>
      <c r="D64" s="2">
        <f t="shared" si="55"/>
        <v>143927.97922293138</v>
      </c>
      <c r="E64" s="2">
        <f t="shared" si="56"/>
        <v>66448.77134860192</v>
      </c>
      <c r="F64" s="2"/>
      <c r="G64" s="2">
        <f t="shared" si="47"/>
        <v>91150.757983631469</v>
      </c>
      <c r="H64" s="2">
        <f t="shared" si="15"/>
        <v>145887.61905701365</v>
      </c>
      <c r="I64" s="2">
        <f t="shared" si="73"/>
        <v>594395.7947468881</v>
      </c>
      <c r="J64" s="2">
        <f t="shared" si="74"/>
        <v>34285.285350451828</v>
      </c>
      <c r="K64" s="6">
        <f t="shared" si="75"/>
        <v>6.1211644443874044E-2</v>
      </c>
      <c r="L64" s="7">
        <f t="shared" si="76"/>
        <v>1.0612116444438739</v>
      </c>
      <c r="N64">
        <f t="shared" si="77"/>
        <v>2014</v>
      </c>
      <c r="O64" s="2">
        <f t="shared" si="20"/>
        <v>9024.8301004688274</v>
      </c>
      <c r="P64" s="2"/>
      <c r="R64">
        <f t="shared" si="78"/>
        <v>2014</v>
      </c>
      <c r="S64" s="2">
        <f t="shared" si="79"/>
        <v>145175.70111461592</v>
      </c>
      <c r="T64" s="2"/>
      <c r="U64" s="2">
        <f t="shared" si="80"/>
        <v>142123.01320283761</v>
      </c>
      <c r="V64" s="2">
        <f t="shared" si="81"/>
        <v>64643.805328508155</v>
      </c>
      <c r="W64" s="2"/>
      <c r="X64" s="2">
        <f t="shared" si="82"/>
        <v>89345.791963537704</v>
      </c>
      <c r="Y64" s="2">
        <f t="shared" si="83"/>
        <v>144082.65303691989</v>
      </c>
      <c r="Z64" s="2">
        <f t="shared" si="84"/>
        <v>585370.96464641928</v>
      </c>
      <c r="AA64" s="2">
        <f t="shared" si="85"/>
        <v>34170.347737364587</v>
      </c>
      <c r="AB64" s="6">
        <f t="shared" si="86"/>
        <v>6.1992578907077898E-2</v>
      </c>
      <c r="AC64" s="7">
        <f t="shared" si="87"/>
        <v>1.0619925789070779</v>
      </c>
      <c r="AD64" s="2">
        <f t="shared" si="88"/>
        <v>0</v>
      </c>
      <c r="AE64" s="2"/>
      <c r="AG64">
        <f t="shared" si="89"/>
        <v>2014</v>
      </c>
      <c r="AH64" s="6">
        <f t="shared" si="90"/>
        <v>0.24800632399371939</v>
      </c>
      <c r="AI64" s="7"/>
      <c r="AJ64" s="6">
        <f t="shared" si="91"/>
        <v>0.24279136101101967</v>
      </c>
      <c r="AK64" s="6">
        <f t="shared" si="92"/>
        <v>0.11043220322271169</v>
      </c>
      <c r="AL64" s="7"/>
      <c r="AM64" s="6">
        <f t="shared" si="93"/>
        <v>0.15263106194121723</v>
      </c>
      <c r="AN64" s="6">
        <f t="shared" si="94"/>
        <v>0.24613904983133203</v>
      </c>
      <c r="AO64" s="6">
        <f t="shared" si="95"/>
        <v>1</v>
      </c>
      <c r="AP64" s="7">
        <f t="shared" si="96"/>
        <v>0.75386095016866794</v>
      </c>
      <c r="AQ64" s="7">
        <f t="shared" si="97"/>
        <v>0</v>
      </c>
      <c r="AR64" s="24"/>
      <c r="AS64">
        <f t="shared" si="98"/>
        <v>2014</v>
      </c>
      <c r="AT64" s="1" t="b">
        <f t="shared" si="99"/>
        <v>1</v>
      </c>
      <c r="AV64" s="1" t="b">
        <f t="shared" si="100"/>
        <v>1</v>
      </c>
      <c r="AW64" s="1" t="b">
        <f t="shared" si="101"/>
        <v>1</v>
      </c>
      <c r="AY64" s="1" t="b">
        <f t="shared" si="102"/>
        <v>1</v>
      </c>
      <c r="AZ64" s="39" t="b">
        <f t="shared" si="103"/>
        <v>0</v>
      </c>
      <c r="BA64" s="1" t="b">
        <f t="shared" si="104"/>
        <v>1</v>
      </c>
      <c r="BC64">
        <f t="shared" si="105"/>
        <v>2014</v>
      </c>
      <c r="BD64" s="27">
        <f>$BK64*BD$37</f>
        <v>117074.19292928386</v>
      </c>
      <c r="BE64" s="2"/>
      <c r="BF64" s="27">
        <f t="shared" ref="BF64:BG64" si="113">$BK64*BF$37</f>
        <v>117074.19292928386</v>
      </c>
      <c r="BG64" s="27">
        <f t="shared" si="113"/>
        <v>58537.096464641931</v>
      </c>
      <c r="BH64" s="2"/>
      <c r="BI64" s="27">
        <f>$BK64*BI$37</f>
        <v>117074.19292928386</v>
      </c>
      <c r="BJ64" s="27">
        <f t="shared" ref="BJ64" si="114">$BK64*BJ$37</f>
        <v>175611.28939392578</v>
      </c>
      <c r="BK64" s="2">
        <f t="shared" si="111"/>
        <v>585370.96464641928</v>
      </c>
      <c r="BL64" s="2">
        <f t="shared" si="112"/>
        <v>0</v>
      </c>
      <c r="BM64" s="20"/>
    </row>
    <row r="65" spans="1:65" x14ac:dyDescent="0.3">
      <c r="A65">
        <f t="shared" si="8"/>
        <v>2015</v>
      </c>
      <c r="B65" s="2">
        <f t="shared" si="48"/>
        <v>118537.6203408999</v>
      </c>
      <c r="C65" s="2"/>
      <c r="D65" s="2">
        <f t="shared" ref="D65" si="115">BF64*(1+(D31/100))</f>
        <v>115364.90971251632</v>
      </c>
      <c r="E65" s="2">
        <f t="shared" ref="E65" si="116">BG64*(1+(E31/100))</f>
        <v>56324.394218278459</v>
      </c>
      <c r="F65" s="2"/>
      <c r="G65" s="2">
        <f t="shared" ref="G65" si="117">BI64*(1+(G31/100))</f>
        <v>111958.05069827416</v>
      </c>
      <c r="H65" s="2">
        <f t="shared" ref="H65" si="118">BJ64*(1+(H31/100))</f>
        <v>176138.12326210755</v>
      </c>
      <c r="I65" s="2">
        <f t="shared" ref="I65" si="119">SUM(B65:H65)</f>
        <v>578323.09823207639</v>
      </c>
      <c r="J65" s="2">
        <f t="shared" ref="J65" si="120">I65-I64</f>
        <v>-16072.696514811716</v>
      </c>
      <c r="K65" s="6">
        <f t="shared" ref="K65" si="121">(J65/I64)</f>
        <v>-2.7040394055371744E-2</v>
      </c>
      <c r="L65" s="7">
        <f t="shared" ref="L65" si="122">K65+1</f>
        <v>0.97295960594462827</v>
      </c>
      <c r="N65">
        <f t="shared" ref="N65" si="123">A65</f>
        <v>2015</v>
      </c>
      <c r="O65" s="2">
        <f t="shared" si="20"/>
        <v>9064.5393529108896</v>
      </c>
      <c r="P65" s="2"/>
      <c r="R65">
        <f t="shared" ref="R65" si="124">A65</f>
        <v>2015</v>
      </c>
      <c r="S65" s="2">
        <f t="shared" ref="S65" si="125">B65-($O65/5)</f>
        <v>116724.71247031773</v>
      </c>
      <c r="T65" s="2"/>
      <c r="U65" s="2">
        <f t="shared" ref="U65" si="126">D65-($O65/5)</f>
        <v>113552.00184193415</v>
      </c>
      <c r="V65" s="2">
        <f t="shared" ref="V65" si="127">E65-($O65/5)</f>
        <v>54511.486347696278</v>
      </c>
      <c r="W65" s="2"/>
      <c r="X65" s="2">
        <f t="shared" ref="X65" si="128">G65-($O65/5)</f>
        <v>110145.14282769199</v>
      </c>
      <c r="Y65" s="2">
        <f t="shared" ref="Y65" si="129">H65-($O65/5)</f>
        <v>174325.21539152536</v>
      </c>
      <c r="Z65" s="2">
        <f t="shared" ref="Z65" si="130">SUM(S65:Y65)</f>
        <v>569258.55887916544</v>
      </c>
      <c r="AA65" s="2">
        <f t="shared" ref="AA65" si="131">Z65-Z64</f>
        <v>-16112.405767253833</v>
      </c>
      <c r="AB65" s="6">
        <f t="shared" ref="AB65" si="132">(AA65/Z64)</f>
        <v>-2.7525119523115028E-2</v>
      </c>
      <c r="AC65" s="7">
        <f t="shared" ref="AC65" si="133">AB65+1</f>
        <v>0.97247488047688502</v>
      </c>
      <c r="AD65" s="2">
        <f t="shared" ref="AD65" si="134">Z65-(I65-O65)</f>
        <v>0</v>
      </c>
      <c r="AE65" s="2"/>
      <c r="AG65">
        <f t="shared" ref="AG65" si="135">A65</f>
        <v>2015</v>
      </c>
      <c r="AH65" s="6">
        <f t="shared" ref="AH65" si="136">S65/$Z65</f>
        <v>0.20504691699346847</v>
      </c>
      <c r="AI65" s="7"/>
      <c r="AJ65" s="6">
        <f t="shared" ref="AJ65" si="137">U65/$Z65</f>
        <v>0.19947350825170015</v>
      </c>
      <c r="AK65" s="6">
        <f t="shared" ref="AK65" si="138">V65/$Z65</f>
        <v>9.5758747053405729E-2</v>
      </c>
      <c r="AL65" s="7"/>
      <c r="AM65" s="6">
        <f t="shared" ref="AM65" si="139">X65/$Z65</f>
        <v>0.19348877783157253</v>
      </c>
      <c r="AN65" s="6">
        <f t="shared" ref="AN65" si="140">Y65/$Z65</f>
        <v>0.3062320498698532</v>
      </c>
      <c r="AO65" s="6">
        <f t="shared" ref="AO65" si="141">SUM(AH65:AN65)</f>
        <v>1</v>
      </c>
      <c r="AP65" s="7">
        <f t="shared" ref="AP65" si="142">SUM(AH65:AM65)</f>
        <v>0.6937679501301468</v>
      </c>
      <c r="AQ65" s="7">
        <f t="shared" ref="AQ65" si="143">AO65-(AP65+AN65)</f>
        <v>0</v>
      </c>
      <c r="AR65" s="24"/>
      <c r="AS65">
        <f t="shared" ref="AS65" si="144">AG65</f>
        <v>2015</v>
      </c>
      <c r="AT65" s="1" t="b">
        <f t="shared" ref="AT65" si="145">AND((S65/$Z65)&gt;0.15,(S65/$Z65)&lt;0.25)</f>
        <v>1</v>
      </c>
      <c r="AV65" s="1" t="b">
        <f t="shared" ref="AV65" si="146">AND((U65/$Z65)&gt;0.15,(U65/$Z65)&lt;0.25)</f>
        <v>1</v>
      </c>
      <c r="AW65" s="1" t="b">
        <f t="shared" ref="AW65" si="147">AND((V65/$Z65)&gt;0.05,(V65/$Z65)&lt;0.15)</f>
        <v>1</v>
      </c>
      <c r="AY65" s="1" t="b">
        <f t="shared" ref="AY65" si="148">AND((X65/$Z65)&gt;0.15,(X65/$Z65)&lt;0.25)</f>
        <v>1</v>
      </c>
      <c r="AZ65" s="1" t="b">
        <f t="shared" ref="AZ65" si="149">AND((Y65/$Z65)&gt;0.25,(Y65/$Z65)&lt;0.35)</f>
        <v>1</v>
      </c>
      <c r="BA65" s="1" t="b">
        <f t="shared" ref="BA65" si="150">AND((Z65/$Z65)&gt;0.999,(Z65/$Z65)&lt;1.01)</f>
        <v>1</v>
      </c>
      <c r="BC65">
        <f t="shared" ref="BC65" si="151">AS65</f>
        <v>2015</v>
      </c>
      <c r="BD65" s="2">
        <f t="shared" ref="BD65" si="152">S65</f>
        <v>116724.71247031773</v>
      </c>
      <c r="BE65" s="2"/>
      <c r="BF65" s="2">
        <f t="shared" ref="BF65" si="153">U65</f>
        <v>113552.00184193415</v>
      </c>
      <c r="BG65" s="2">
        <f t="shared" ref="BG65" si="154">V65</f>
        <v>54511.486347696278</v>
      </c>
      <c r="BH65" s="2"/>
      <c r="BI65" s="2">
        <f t="shared" ref="BI65" si="155">X65</f>
        <v>110145.14282769199</v>
      </c>
      <c r="BJ65" s="2">
        <f t="shared" ref="BJ65" si="156">Y65</f>
        <v>174325.21539152536</v>
      </c>
      <c r="BK65" s="2">
        <f t="shared" ref="BK65" si="157">Z65</f>
        <v>569258.55887916544</v>
      </c>
      <c r="BL65" s="2">
        <f t="shared" ref="BL65" si="158">SUM(BD65:BJ65)-Z65</f>
        <v>0</v>
      </c>
      <c r="BM65" s="20"/>
    </row>
    <row r="66" spans="1:65" x14ac:dyDescent="0.3">
      <c r="A66" s="9" t="s">
        <v>82</v>
      </c>
      <c r="B66" s="10">
        <f>BD65</f>
        <v>116724.71247031773</v>
      </c>
      <c r="C66" s="10"/>
      <c r="D66" s="10">
        <f>BF65</f>
        <v>113552.00184193415</v>
      </c>
      <c r="E66" s="10">
        <f>BG65</f>
        <v>54511.486347696278</v>
      </c>
      <c r="F66" s="10"/>
      <c r="G66" s="10">
        <f>BI65</f>
        <v>110145.14282769199</v>
      </c>
      <c r="H66" s="10">
        <f>BJ65</f>
        <v>174325.21539152536</v>
      </c>
      <c r="I66" s="10">
        <f>SUM(B66:H66)</f>
        <v>569258.55887916544</v>
      </c>
      <c r="J66" s="10"/>
      <c r="K66" s="10"/>
      <c r="N66" t="s">
        <v>43</v>
      </c>
      <c r="O66" s="2">
        <f>O64</f>
        <v>9024.8301004688274</v>
      </c>
      <c r="P66" s="2"/>
      <c r="R66" s="9" t="s">
        <v>82</v>
      </c>
      <c r="S66" s="10">
        <f>S65</f>
        <v>116724.71247031773</v>
      </c>
      <c r="T66" s="10"/>
      <c r="U66" s="10">
        <f>U65</f>
        <v>113552.00184193415</v>
      </c>
      <c r="V66" s="10">
        <f>V65</f>
        <v>54511.486347696278</v>
      </c>
      <c r="W66" s="10"/>
      <c r="X66" s="10">
        <f>X65</f>
        <v>110145.14282769199</v>
      </c>
      <c r="Y66" s="10">
        <f>Y65</f>
        <v>174325.21539152536</v>
      </c>
      <c r="Z66" s="10">
        <f>SUM(S66:Y66)</f>
        <v>569258.55887916544</v>
      </c>
      <c r="AA66" s="10"/>
      <c r="AB66" s="10"/>
      <c r="AD66" s="44"/>
      <c r="AE66" s="44"/>
      <c r="AK66" s="7"/>
      <c r="BC66" s="21"/>
      <c r="BD66" s="22"/>
      <c r="BF66" s="22"/>
      <c r="BG66" s="22"/>
      <c r="BI66" s="22"/>
      <c r="BJ66" s="22"/>
    </row>
    <row r="67" spans="1:65" x14ac:dyDescent="0.3">
      <c r="A67" s="11" t="s">
        <v>12</v>
      </c>
      <c r="I67" s="6">
        <f>(Z66-Z37)/Z37</f>
        <v>4.6925855887916548</v>
      </c>
      <c r="K67" s="6"/>
      <c r="N67" t="s">
        <v>74</v>
      </c>
      <c r="O67" s="2">
        <f>SUM(O38:O65)</f>
        <v>194718.8452520174</v>
      </c>
      <c r="P67" s="2"/>
      <c r="AB67" s="6"/>
      <c r="BF67" s="22"/>
    </row>
    <row r="68" spans="1:65" x14ac:dyDescent="0.3">
      <c r="A68" s="1" t="s">
        <v>13</v>
      </c>
      <c r="I68" s="12">
        <f>STDEV(AC38:AC65)</f>
        <v>0.11966923036575899</v>
      </c>
    </row>
    <row r="69" spans="1:65" x14ac:dyDescent="0.3">
      <c r="A69" s="1" t="s">
        <v>14</v>
      </c>
      <c r="I69" s="13">
        <f>((1+I67)^(1/28))-1</f>
        <v>6.4082600327482142E-2</v>
      </c>
    </row>
    <row r="70" spans="1:65" x14ac:dyDescent="0.3">
      <c r="A70" s="1" t="s">
        <v>86</v>
      </c>
      <c r="I70" s="31">
        <f>J58</f>
        <v>-124994.99851504155</v>
      </c>
      <c r="O70" s="2"/>
      <c r="P70" s="2"/>
    </row>
    <row r="71" spans="1:65" x14ac:dyDescent="0.3">
      <c r="A71" s="1" t="s">
        <v>87</v>
      </c>
      <c r="I71" s="32">
        <f>K58</f>
        <v>-0.28108754650214235</v>
      </c>
    </row>
    <row r="72" spans="1:65" x14ac:dyDescent="0.3">
      <c r="A72" s="1" t="s">
        <v>46</v>
      </c>
      <c r="I72" s="2">
        <f>O67</f>
        <v>194718.8452520174</v>
      </c>
    </row>
    <row r="73" spans="1:65" x14ac:dyDescent="0.3">
      <c r="A73" s="61" t="s">
        <v>5</v>
      </c>
      <c r="I73" s="60">
        <f>I66-Z66</f>
        <v>0</v>
      </c>
      <c r="Z73" s="2"/>
    </row>
    <row r="74" spans="1:65" x14ac:dyDescent="0.3">
      <c r="A74" s="61" t="s">
        <v>157</v>
      </c>
      <c r="I74" s="60">
        <f>((SUM(AA38:AA65)))-(I66-I37)</f>
        <v>0</v>
      </c>
    </row>
    <row r="75" spans="1:65" x14ac:dyDescent="0.3">
      <c r="A75" s="61" t="s">
        <v>156</v>
      </c>
      <c r="I75" s="60">
        <f>(SUM(O38:O65))-I72</f>
        <v>0</v>
      </c>
      <c r="Z75" s="77"/>
    </row>
    <row r="77" spans="1:65" x14ac:dyDescent="0.3">
      <c r="B77" s="66"/>
      <c r="C77" s="66"/>
      <c r="D77" s="66"/>
      <c r="E77" s="66"/>
      <c r="G77" s="66"/>
      <c r="H77" s="66"/>
      <c r="I77" s="66"/>
    </row>
    <row r="78" spans="1:65" x14ac:dyDescent="0.3">
      <c r="B78" s="2"/>
      <c r="D78" s="2"/>
      <c r="E78" s="2"/>
      <c r="G78" s="2"/>
      <c r="H78" s="2"/>
      <c r="I78" s="2"/>
    </row>
  </sheetData>
  <phoneticPr fontId="12"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75"/>
  <sheetViews>
    <sheetView topLeftCell="A33" zoomScaleNormal="100" workbookViewId="0">
      <selection activeCell="A65" sqref="A65"/>
    </sheetView>
  </sheetViews>
  <sheetFormatPr defaultColWidth="8.88671875" defaultRowHeight="14.4" x14ac:dyDescent="0.3"/>
  <cols>
    <col min="1" max="1" width="25.44140625" customWidth="1"/>
    <col min="2" max="4" width="9.33203125" bestFit="1" customWidth="1"/>
    <col min="7" max="7" width="9.88671875" bestFit="1" customWidth="1"/>
    <col min="8" max="8" width="9.33203125" bestFit="1" customWidth="1"/>
    <col min="9" max="9" width="11.6640625" customWidth="1"/>
    <col min="10" max="10" width="10" bestFit="1" customWidth="1"/>
    <col min="15" max="15" width="9.88671875" bestFit="1" customWidth="1"/>
    <col min="16" max="16" width="9.88671875" customWidth="1"/>
    <col min="19" max="19" width="10.88671875" bestFit="1" customWidth="1"/>
    <col min="20" max="20" width="9.33203125" bestFit="1" customWidth="1"/>
    <col min="21" max="21" width="11.88671875" bestFit="1" customWidth="1"/>
    <col min="25" max="25" width="9.33203125" bestFit="1" customWidth="1"/>
    <col min="26" max="26" width="10.88671875" bestFit="1" customWidth="1"/>
    <col min="27" max="31" width="10.88671875" customWidth="1"/>
    <col min="46" max="46" width="10.88671875" bestFit="1" customWidth="1"/>
    <col min="47" max="48" width="9.33203125" bestFit="1" customWidth="1"/>
    <col min="51" max="51" width="9.88671875" bestFit="1" customWidth="1"/>
    <col min="52" max="53" width="9.33203125" bestFit="1" customWidth="1"/>
  </cols>
  <sheetData>
    <row r="1" spans="1:16" x14ac:dyDescent="0.3">
      <c r="A1" s="20" t="s">
        <v>53</v>
      </c>
      <c r="N1" s="20" t="s">
        <v>151</v>
      </c>
    </row>
    <row r="2" spans="1:16" x14ac:dyDescent="0.3">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5"/>
    </row>
    <row r="3" spans="1:16" x14ac:dyDescent="0.3">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50" t="str">
        <f>'4% Withdrawals-No Rebalancing'!N3</f>
        <v>Year</v>
      </c>
      <c r="O3" s="51" t="str">
        <f>'4% Withdrawals-No Rebalancing'!O3</f>
        <v>CPI</v>
      </c>
      <c r="P3" s="45"/>
    </row>
    <row r="4" spans="1:16" x14ac:dyDescent="0.3">
      <c r="A4" s="17">
        <f>'Non-Rebalanced Portfolio'!A4</f>
        <v>1988</v>
      </c>
      <c r="B4" s="17">
        <f>'Non-Rebalanced Portfolio'!B4</f>
        <v>16.22</v>
      </c>
      <c r="C4" s="17">
        <f>'Non-Rebalanced Portfolio'!C4</f>
        <v>19.747</v>
      </c>
      <c r="D4" s="17"/>
      <c r="E4" s="17"/>
      <c r="F4" s="17">
        <f>'Non-Rebalanced Portfolio'!F4</f>
        <v>18.777999999999999</v>
      </c>
      <c r="G4" s="17"/>
      <c r="H4" s="17">
        <f>'Non-Rebalanced Portfolio'!H4</f>
        <v>7.35</v>
      </c>
      <c r="N4" s="50">
        <f>'4% Withdrawals-No Rebalancing'!N4</f>
        <v>1988</v>
      </c>
      <c r="O4" s="51">
        <f>'4% Withdrawals-No Rebalancing'!O4</f>
        <v>4.3999999999999997E-2</v>
      </c>
      <c r="P4" s="45"/>
    </row>
    <row r="5" spans="1:16" x14ac:dyDescent="0.3">
      <c r="A5" s="17">
        <f>'Non-Rebalanced Portfolio'!A5</f>
        <v>1989</v>
      </c>
      <c r="B5" s="17">
        <f>'Non-Rebalanced Portfolio'!B5</f>
        <v>31.36</v>
      </c>
      <c r="C5" s="17">
        <f>'Non-Rebalanced Portfolio'!C5</f>
        <v>24.096</v>
      </c>
      <c r="D5" s="17"/>
      <c r="E5" s="17"/>
      <c r="F5" s="17">
        <f>'Non-Rebalanced Portfolio'!F5</f>
        <v>25.971</v>
      </c>
      <c r="G5" s="17"/>
      <c r="H5" s="17">
        <f>'Non-Rebalanced Portfolio'!H5</f>
        <v>13.64</v>
      </c>
      <c r="N5" s="50">
        <f>'4% Withdrawals-No Rebalancing'!N5</f>
        <v>1989</v>
      </c>
      <c r="O5" s="51">
        <f>'4% Withdrawals-No Rebalancing'!O5</f>
        <v>4.5999999999999999E-2</v>
      </c>
      <c r="P5" s="45"/>
    </row>
    <row r="6" spans="1:16" x14ac:dyDescent="0.3">
      <c r="A6" s="17">
        <f>'Non-Rebalanced Portfolio'!A6</f>
        <v>1990</v>
      </c>
      <c r="B6" s="17">
        <f>'Non-Rebalanced Portfolio'!B6</f>
        <v>-3.32</v>
      </c>
      <c r="C6" s="17">
        <f>'Non-Rebalanced Portfolio'!C6</f>
        <v>-14.045</v>
      </c>
      <c r="D6" s="17"/>
      <c r="E6" s="17"/>
      <c r="F6" s="17">
        <f>'Non-Rebalanced Portfolio'!F6</f>
        <v>-12.26</v>
      </c>
      <c r="G6" s="17"/>
      <c r="H6" s="17">
        <f>'Non-Rebalanced Portfolio'!H6</f>
        <v>8.65</v>
      </c>
      <c r="N6" s="50">
        <f>'4% Withdrawals-No Rebalancing'!N6</f>
        <v>1990</v>
      </c>
      <c r="O6" s="51">
        <f>'4% Withdrawals-No Rebalancing'!O6</f>
        <v>6.3E-2</v>
      </c>
      <c r="P6" s="45"/>
    </row>
    <row r="7" spans="1:16" x14ac:dyDescent="0.3">
      <c r="A7" s="17">
        <f>'Non-Rebalanced Portfolio'!A7</f>
        <v>1991</v>
      </c>
      <c r="B7" s="17">
        <f>'Non-Rebalanced Portfolio'!B7</f>
        <v>30.22</v>
      </c>
      <c r="C7" s="17">
        <f>'Non-Rebalanced Portfolio'!C7</f>
        <v>41.85</v>
      </c>
      <c r="D7" s="17"/>
      <c r="E7" s="17"/>
      <c r="F7" s="17">
        <f>'Non-Rebalanced Portfolio'!F7</f>
        <v>9.9559999999999995</v>
      </c>
      <c r="G7" s="17"/>
      <c r="H7" s="17">
        <f>'Non-Rebalanced Portfolio'!H7</f>
        <v>15.25</v>
      </c>
      <c r="N7" s="50">
        <f>'4% Withdrawals-No Rebalancing'!N7</f>
        <v>1991</v>
      </c>
      <c r="O7" s="51">
        <f>'4% Withdrawals-No Rebalancing'!O7</f>
        <v>0.03</v>
      </c>
      <c r="P7" s="45"/>
    </row>
    <row r="8" spans="1:16" x14ac:dyDescent="0.3">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c r="N8" s="50">
        <f>'4% Withdrawals-No Rebalancing'!N8</f>
        <v>1992</v>
      </c>
      <c r="O8" s="51">
        <f>'4% Withdrawals-No Rebalancing'!O8</f>
        <v>0.03</v>
      </c>
      <c r="P8" s="45"/>
    </row>
    <row r="9" spans="1:16" x14ac:dyDescent="0.3">
      <c r="A9" s="17">
        <f>'Non-Rebalanced Portfolio'!A9</f>
        <v>1993</v>
      </c>
      <c r="B9" s="17">
        <f>'Non-Rebalanced Portfolio'!B9</f>
        <v>9.89</v>
      </c>
      <c r="C9" s="17">
        <f>'Non-Rebalanced Portfolio'!C9</f>
        <v>14.49</v>
      </c>
      <c r="D9" s="17"/>
      <c r="E9" s="17"/>
      <c r="F9" s="17">
        <f>'Non-Rebalanced Portfolio'!F9</f>
        <v>30.494</v>
      </c>
      <c r="G9" s="17"/>
      <c r="H9" s="17">
        <f>'Non-Rebalanced Portfolio'!H9</f>
        <v>9.68</v>
      </c>
      <c r="N9" s="50">
        <f>'4% Withdrawals-No Rebalancing'!N9</f>
        <v>1993</v>
      </c>
      <c r="O9" s="51">
        <f>'4% Withdrawals-No Rebalancing'!O9</f>
        <v>2.8000000000000001E-2</v>
      </c>
      <c r="P9" s="45"/>
    </row>
    <row r="10" spans="1:16" x14ac:dyDescent="0.3">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c r="N10" s="50">
        <f>'4% Withdrawals-No Rebalancing'!N10</f>
        <v>1994</v>
      </c>
      <c r="O10" s="51">
        <f>'4% Withdrawals-No Rebalancing'!O10</f>
        <v>2.5999999999999999E-2</v>
      </c>
      <c r="P10" s="45"/>
    </row>
    <row r="11" spans="1:16" x14ac:dyDescent="0.3">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c r="N11" s="50">
        <f>'4% Withdrawals-No Rebalancing'!N11</f>
        <v>1995</v>
      </c>
      <c r="O11" s="51">
        <f>'4% Withdrawals-No Rebalancing'!O11</f>
        <v>2.5000000000000001E-2</v>
      </c>
      <c r="P11" s="45"/>
    </row>
    <row r="12" spans="1:16" x14ac:dyDescent="0.3">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c r="N12" s="50">
        <f>'4% Withdrawals-No Rebalancing'!N12</f>
        <v>1996</v>
      </c>
      <c r="O12" s="51">
        <f>'4% Withdrawals-No Rebalancing'!O12</f>
        <v>3.4000000000000002E-2</v>
      </c>
      <c r="P12" s="45"/>
    </row>
    <row r="13" spans="1:16" x14ac:dyDescent="0.3">
      <c r="A13" s="17">
        <f>'Non-Rebalanced Portfolio'!A13</f>
        <v>1997</v>
      </c>
      <c r="B13" s="17">
        <f>'Non-Rebalanced Portfolio'!B13</f>
        <v>33.19</v>
      </c>
      <c r="C13" s="17">
        <f>'Non-Rebalanced Portfolio'!C13</f>
        <v>26.687000000000001</v>
      </c>
      <c r="D13" s="17"/>
      <c r="E13" s="17"/>
      <c r="F13" s="17"/>
      <c r="G13" s="17">
        <f>'Non-Rebalanced Portfolio'!G13</f>
        <v>-0.77500000000000002</v>
      </c>
      <c r="H13" s="17">
        <f>'Non-Rebalanced Portfolio'!H13</f>
        <v>9.44</v>
      </c>
      <c r="N13" s="50">
        <f>'4% Withdrawals-No Rebalancing'!N13</f>
        <v>1997</v>
      </c>
      <c r="O13" s="51">
        <f>'4% Withdrawals-No Rebalancing'!O13</f>
        <v>1.7000000000000001E-2</v>
      </c>
      <c r="P13" s="45"/>
    </row>
    <row r="14" spans="1:16" x14ac:dyDescent="0.3">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c r="N14" s="50">
        <f>'4% Withdrawals-No Rebalancing'!N14</f>
        <v>1998</v>
      </c>
      <c r="O14" s="51">
        <f>'4% Withdrawals-No Rebalancing'!O14</f>
        <v>1.6E-2</v>
      </c>
      <c r="P14" s="45"/>
    </row>
    <row r="15" spans="1:16" x14ac:dyDescent="0.3">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50">
        <f>'4% Withdrawals-No Rebalancing'!N15</f>
        <v>1999</v>
      </c>
      <c r="O15" s="51">
        <f>'4% Withdrawals-No Rebalancing'!O15</f>
        <v>2.7E-2</v>
      </c>
      <c r="P15" s="45"/>
    </row>
    <row r="16" spans="1:16" x14ac:dyDescent="0.3">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50">
        <f>'4% Withdrawals-No Rebalancing'!N16</f>
        <v>2000</v>
      </c>
      <c r="O16" s="51">
        <f>'4% Withdrawals-No Rebalancing'!O16</f>
        <v>3.4000000000000002E-2</v>
      </c>
      <c r="P16" s="45"/>
    </row>
    <row r="17" spans="1:16" x14ac:dyDescent="0.3">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50">
        <f>'4% Withdrawals-No Rebalancing'!N17</f>
        <v>2001</v>
      </c>
      <c r="O17" s="51">
        <f>'4% Withdrawals-No Rebalancing'!O17</f>
        <v>1.6E-2</v>
      </c>
      <c r="P17" s="45"/>
    </row>
    <row r="18" spans="1:16" x14ac:dyDescent="0.3">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50">
        <f>'4% Withdrawals-No Rebalancing'!N18</f>
        <v>2002</v>
      </c>
      <c r="O18" s="51">
        <f>'4% Withdrawals-No Rebalancing'!O18</f>
        <v>2.5000000000000001E-2</v>
      </c>
      <c r="P18" s="45"/>
    </row>
    <row r="19" spans="1:16" x14ac:dyDescent="0.3">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50">
        <f>'4% Withdrawals-No Rebalancing'!N19</f>
        <v>2003</v>
      </c>
      <c r="O19" s="51">
        <f>'4% Withdrawals-No Rebalancing'!O19</f>
        <v>0.02</v>
      </c>
      <c r="P19" s="45"/>
    </row>
    <row r="20" spans="1:16" x14ac:dyDescent="0.3">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50">
        <f>'4% Withdrawals-No Rebalancing'!N20</f>
        <v>2004</v>
      </c>
      <c r="O20" s="51">
        <f>'4% Withdrawals-No Rebalancing'!O20</f>
        <v>3.3000000000000002E-2</v>
      </c>
      <c r="P20" s="45"/>
    </row>
    <row r="21" spans="1:16" x14ac:dyDescent="0.3">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50">
        <f>'4% Withdrawals-No Rebalancing'!N21</f>
        <v>2005</v>
      </c>
      <c r="O21" s="51">
        <f>'4% Withdrawals-No Rebalancing'!O21</f>
        <v>3.3000000000000002E-2</v>
      </c>
      <c r="P21" s="45"/>
    </row>
    <row r="22" spans="1:16" x14ac:dyDescent="0.3">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50">
        <f>'4% Withdrawals-No Rebalancing'!N22</f>
        <v>2006</v>
      </c>
      <c r="O22" s="51">
        <f>'4% Withdrawals-No Rebalancing'!O22</f>
        <v>2.5000000000000001E-2</v>
      </c>
      <c r="P22" s="45"/>
    </row>
    <row r="23" spans="1:16" x14ac:dyDescent="0.3">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50">
        <f>'4% Withdrawals-No Rebalancing'!N23</f>
        <v>2007</v>
      </c>
      <c r="O23" s="51">
        <f>'4% Withdrawals-No Rebalancing'!O23</f>
        <v>4.1000000000000002E-2</v>
      </c>
      <c r="P23" s="45"/>
    </row>
    <row r="24" spans="1:16" x14ac:dyDescent="0.3">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50">
        <f>'4% Withdrawals-No Rebalancing'!N24</f>
        <v>2008</v>
      </c>
      <c r="O24" s="51">
        <f>'4% Withdrawals-No Rebalancing'!O24</f>
        <v>0</v>
      </c>
      <c r="P24" s="45"/>
    </row>
    <row r="25" spans="1:16" x14ac:dyDescent="0.3">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50">
        <f>'4% Withdrawals-No Rebalancing'!N25</f>
        <v>2009</v>
      </c>
      <c r="O25" s="51">
        <f>'4% Withdrawals-No Rebalancing'!O25</f>
        <v>2.8000000000000001E-2</v>
      </c>
      <c r="P25" s="45"/>
    </row>
    <row r="26" spans="1:16" x14ac:dyDescent="0.3">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50">
        <f>'4% Withdrawals-No Rebalancing'!N26</f>
        <v>2010</v>
      </c>
      <c r="O26" s="51">
        <f>'4% Withdrawals-No Rebalancing'!O26</f>
        <v>1.4E-2</v>
      </c>
      <c r="P26" s="45"/>
    </row>
    <row r="27" spans="1:16" x14ac:dyDescent="0.3">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50">
        <f>'4% Withdrawals-No Rebalancing'!N27</f>
        <v>2011</v>
      </c>
      <c r="O27" s="51">
        <f>'4% Withdrawals-No Rebalancing'!O27</f>
        <v>0.03</v>
      </c>
    </row>
    <row r="28" spans="1:16" x14ac:dyDescent="0.3">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c r="N28" s="50">
        <f>'4% Withdrawals-No Rebalancing'!N28</f>
        <v>2012</v>
      </c>
      <c r="O28" s="51">
        <f>'4% Withdrawals-No Rebalancing'!O28</f>
        <v>1.7999999999999999E-2</v>
      </c>
    </row>
    <row r="29" spans="1:16" x14ac:dyDescent="0.3">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c r="N29" s="50">
        <f>'4% Withdrawals-No Rebalancing'!N29</f>
        <v>2013</v>
      </c>
      <c r="O29" s="51">
        <f>'4% Withdrawals-No Rebalancing'!O29</f>
        <v>1.15559170535223E-2</v>
      </c>
    </row>
    <row r="30" spans="1:16" x14ac:dyDescent="0.3">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c r="N30" s="50">
        <f>'4% Withdrawals-No Rebalancing'!N30</f>
        <v>2014</v>
      </c>
      <c r="O30" s="51">
        <f>'4% Withdrawals-No Rebalancing'!O30</f>
        <v>1.29E-2</v>
      </c>
    </row>
    <row r="31" spans="1:16" x14ac:dyDescent="0.3">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c r="N31" s="50">
        <f>'4% Withdrawals-No Rebalancing'!N31</f>
        <v>2015</v>
      </c>
      <c r="O31" s="51">
        <f>'4% Withdrawals-No Rebalancing'!O31</f>
        <v>4.4000000000000003E-3</v>
      </c>
    </row>
    <row r="34" spans="1:86" x14ac:dyDescent="0.3">
      <c r="A34" s="20" t="s">
        <v>124</v>
      </c>
      <c r="N34" s="20" t="s">
        <v>27</v>
      </c>
      <c r="R34" s="20" t="s">
        <v>125</v>
      </c>
      <c r="AG34" s="20" t="s">
        <v>126</v>
      </c>
      <c r="AR34" s="1"/>
      <c r="AS34" s="20" t="s">
        <v>9</v>
      </c>
      <c r="BL34" s="20" t="s">
        <v>7</v>
      </c>
    </row>
    <row r="35" spans="1:86" x14ac:dyDescent="0.3">
      <c r="B35" s="4" t="str">
        <f t="shared" ref="B35:H36" si="0">B2</f>
        <v>LC Stocks</v>
      </c>
      <c r="C35" s="4" t="str">
        <f t="shared" si="0"/>
        <v>Ext Mkt</v>
      </c>
      <c r="D35" s="4" t="str">
        <f t="shared" si="0"/>
        <v>Mcap Stk</v>
      </c>
      <c r="E35" s="4" t="str">
        <f t="shared" si="0"/>
        <v>Small Cap</v>
      </c>
      <c r="F35" s="4" t="str">
        <f t="shared" si="0"/>
        <v>Intl Val</v>
      </c>
      <c r="G35" s="4" t="str">
        <f t="shared" si="0"/>
        <v>Tot Int Stk</v>
      </c>
      <c r="H35" s="4" t="str">
        <f t="shared" si="0"/>
        <v>Bonds</v>
      </c>
      <c r="I35" s="5"/>
      <c r="J35" s="5" t="s">
        <v>80</v>
      </c>
      <c r="K35" s="5" t="s">
        <v>77</v>
      </c>
      <c r="L35" s="5" t="s">
        <v>78</v>
      </c>
      <c r="S35" s="4" t="str">
        <f t="shared" ref="S35:Z37" si="1">B35</f>
        <v>LC Stocks</v>
      </c>
      <c r="T35" s="4" t="str">
        <f t="shared" si="1"/>
        <v>Ext Mkt</v>
      </c>
      <c r="U35" s="4" t="str">
        <f t="shared" si="1"/>
        <v>Mcap Stk</v>
      </c>
      <c r="V35" s="4" t="str">
        <f t="shared" si="1"/>
        <v>Small Cap</v>
      </c>
      <c r="W35" s="4" t="str">
        <f t="shared" si="1"/>
        <v>Intl Val</v>
      </c>
      <c r="X35" s="4" t="str">
        <f t="shared" si="1"/>
        <v>Tot Int Stk</v>
      </c>
      <c r="Y35" s="4" t="str">
        <f t="shared" si="1"/>
        <v>Bonds</v>
      </c>
      <c r="Z35" s="5"/>
      <c r="AA35" s="5" t="s">
        <v>80</v>
      </c>
      <c r="AB35" s="5" t="s">
        <v>77</v>
      </c>
      <c r="AC35" s="5" t="s">
        <v>78</v>
      </c>
      <c r="AD35" s="5" t="s">
        <v>92</v>
      </c>
      <c r="AE35" s="5"/>
      <c r="AH35" s="4" t="str">
        <f t="shared" ref="AH35:AN36" si="2">B35</f>
        <v>LC Stocks</v>
      </c>
      <c r="AI35" s="4" t="str">
        <f t="shared" si="2"/>
        <v>Ext Mkt</v>
      </c>
      <c r="AJ35" s="4" t="str">
        <f t="shared" si="2"/>
        <v>Mcap Stk</v>
      </c>
      <c r="AK35" s="4" t="str">
        <f t="shared" si="2"/>
        <v>Small Cap</v>
      </c>
      <c r="AL35" s="4" t="str">
        <f t="shared" si="2"/>
        <v>Intl Val</v>
      </c>
      <c r="AM35" s="4" t="str">
        <f t="shared" si="2"/>
        <v>Tot Int Stk</v>
      </c>
      <c r="AN35" s="4" t="str">
        <f t="shared" si="2"/>
        <v>Bonds</v>
      </c>
      <c r="AO35" s="5"/>
      <c r="AP35" s="5" t="s">
        <v>115</v>
      </c>
      <c r="AQ35" s="5" t="s">
        <v>116</v>
      </c>
      <c r="AR35" s="75"/>
      <c r="AT35" s="4" t="str">
        <f t="shared" ref="AT35:AZ37" si="3">BO35</f>
        <v>LC Stocks</v>
      </c>
      <c r="AU35" s="4" t="str">
        <f t="shared" si="3"/>
        <v>Ext Mkt</v>
      </c>
      <c r="AV35" s="4" t="str">
        <f t="shared" si="3"/>
        <v>Mcap Stk</v>
      </c>
      <c r="AW35" s="4" t="str">
        <f t="shared" si="3"/>
        <v>Small Cap</v>
      </c>
      <c r="AX35" s="4" t="str">
        <f t="shared" si="3"/>
        <v>Intl Val</v>
      </c>
      <c r="AY35" s="4" t="str">
        <f t="shared" si="3"/>
        <v>Tot Int Stk</v>
      </c>
      <c r="AZ35" s="4" t="str">
        <f t="shared" si="3"/>
        <v>Bonds</v>
      </c>
      <c r="BA35" s="4"/>
      <c r="BB35" t="s">
        <v>92</v>
      </c>
      <c r="BO35" s="4" t="str">
        <f t="shared" ref="BO35:BU37" si="4">AH35</f>
        <v>LC Stocks</v>
      </c>
      <c r="BP35" s="4" t="str">
        <f t="shared" si="4"/>
        <v>Ext Mkt</v>
      </c>
      <c r="BQ35" s="4" t="str">
        <f t="shared" si="4"/>
        <v>Mcap Stk</v>
      </c>
      <c r="BR35" s="4" t="str">
        <f t="shared" si="4"/>
        <v>Small Cap</v>
      </c>
      <c r="BS35" s="4" t="str">
        <f t="shared" si="4"/>
        <v>Intl Val</v>
      </c>
      <c r="BT35" s="4" t="str">
        <f t="shared" si="4"/>
        <v>Tot Int Stk</v>
      </c>
      <c r="BU35" s="4" t="str">
        <f t="shared" si="4"/>
        <v>Bonds</v>
      </c>
      <c r="BV35" s="5"/>
    </row>
    <row r="36" spans="1:86" x14ac:dyDescent="0.3">
      <c r="A36" t="s">
        <v>76</v>
      </c>
      <c r="B36" s="4" t="str">
        <f t="shared" si="0"/>
        <v>VFINX</v>
      </c>
      <c r="C36" s="4" t="str">
        <f t="shared" si="0"/>
        <v>VEXMX</v>
      </c>
      <c r="D36" s="4" t="str">
        <f t="shared" si="0"/>
        <v>VIMSX</v>
      </c>
      <c r="E36" s="4" t="str">
        <f t="shared" si="0"/>
        <v>NAESX</v>
      </c>
      <c r="F36" s="4" t="str">
        <f t="shared" si="0"/>
        <v>VTRIX</v>
      </c>
      <c r="G36" s="4" t="str">
        <f t="shared" si="0"/>
        <v>VGTSX</v>
      </c>
      <c r="H36" s="4" t="str">
        <f t="shared" si="0"/>
        <v>VBMFX</v>
      </c>
      <c r="I36" s="5" t="s">
        <v>74</v>
      </c>
      <c r="J36" s="5" t="s">
        <v>81</v>
      </c>
      <c r="K36" s="5" t="s">
        <v>79</v>
      </c>
      <c r="L36" s="5" t="s">
        <v>79</v>
      </c>
      <c r="R36" t="str">
        <f>A36</f>
        <v>Fund</v>
      </c>
      <c r="S36" s="4" t="str">
        <f t="shared" si="1"/>
        <v>VFINX</v>
      </c>
      <c r="T36" s="4" t="str">
        <f t="shared" si="1"/>
        <v>VEXMX</v>
      </c>
      <c r="U36" s="4" t="str">
        <f t="shared" si="1"/>
        <v>VIMSX</v>
      </c>
      <c r="V36" s="4" t="str">
        <f t="shared" si="1"/>
        <v>NAESX</v>
      </c>
      <c r="W36" s="4" t="str">
        <f t="shared" si="1"/>
        <v>VTRIX</v>
      </c>
      <c r="X36" s="4" t="str">
        <f t="shared" si="1"/>
        <v>VGTSX</v>
      </c>
      <c r="Y36" s="4" t="str">
        <f t="shared" si="1"/>
        <v>VBMFX</v>
      </c>
      <c r="Z36" s="5" t="str">
        <f t="shared" si="1"/>
        <v>Total</v>
      </c>
      <c r="AA36" s="5" t="s">
        <v>81</v>
      </c>
      <c r="AB36" s="5" t="s">
        <v>79</v>
      </c>
      <c r="AC36" s="5" t="s">
        <v>79</v>
      </c>
      <c r="AD36" s="5" t="s">
        <v>91</v>
      </c>
      <c r="AE36" s="5"/>
      <c r="AG36" t="s">
        <v>76</v>
      </c>
      <c r="AH36" s="4" t="str">
        <f t="shared" si="2"/>
        <v>VFINX</v>
      </c>
      <c r="AI36" s="4" t="str">
        <f t="shared" si="2"/>
        <v>VEXMX</v>
      </c>
      <c r="AJ36" s="4" t="str">
        <f t="shared" si="2"/>
        <v>VIMSX</v>
      </c>
      <c r="AK36" s="4" t="str">
        <f t="shared" si="2"/>
        <v>NAESX</v>
      </c>
      <c r="AL36" s="4" t="str">
        <f t="shared" si="2"/>
        <v>VTRIX</v>
      </c>
      <c r="AM36" s="4" t="str">
        <f t="shared" si="2"/>
        <v>VGTSX</v>
      </c>
      <c r="AN36" s="4" t="str">
        <f t="shared" si="2"/>
        <v>VBMFX</v>
      </c>
      <c r="AO36" s="5" t="s">
        <v>74</v>
      </c>
      <c r="AP36" s="5" t="s">
        <v>116</v>
      </c>
      <c r="AQ36" s="5" t="s">
        <v>91</v>
      </c>
      <c r="AR36" s="75"/>
      <c r="AS36" t="s">
        <v>76</v>
      </c>
      <c r="AT36" s="4" t="str">
        <f t="shared" si="3"/>
        <v>VFINX</v>
      </c>
      <c r="AU36" s="4" t="str">
        <f t="shared" si="3"/>
        <v>VEXMX</v>
      </c>
      <c r="AV36" s="4" t="str">
        <f t="shared" si="3"/>
        <v>VIMSX</v>
      </c>
      <c r="AW36" s="4" t="str">
        <f t="shared" si="3"/>
        <v>NAESX</v>
      </c>
      <c r="AX36" s="4" t="str">
        <f t="shared" si="3"/>
        <v>VTRIX</v>
      </c>
      <c r="AY36" s="4" t="str">
        <f t="shared" si="3"/>
        <v>VGTSX</v>
      </c>
      <c r="AZ36" s="4" t="str">
        <f t="shared" si="3"/>
        <v>VBMFX</v>
      </c>
      <c r="BA36" s="4" t="str">
        <f>BV36</f>
        <v>Total</v>
      </c>
      <c r="BB36" t="s">
        <v>91</v>
      </c>
      <c r="BN36" t="str">
        <f t="shared" ref="BN36:BN64" si="5">AG36</f>
        <v>Fund</v>
      </c>
      <c r="BO36" s="4" t="str">
        <f t="shared" si="4"/>
        <v>VFINX</v>
      </c>
      <c r="BP36" s="4" t="str">
        <f t="shared" si="4"/>
        <v>VEXMX</v>
      </c>
      <c r="BQ36" s="4" t="str">
        <f t="shared" si="4"/>
        <v>VIMSX</v>
      </c>
      <c r="BR36" s="4" t="str">
        <f t="shared" si="4"/>
        <v>NAESX</v>
      </c>
      <c r="BS36" s="4" t="str">
        <f t="shared" si="4"/>
        <v>VTRIX</v>
      </c>
      <c r="BT36" s="4" t="str">
        <f t="shared" si="4"/>
        <v>VGTSX</v>
      </c>
      <c r="BU36" s="4" t="str">
        <f t="shared" si="4"/>
        <v>VBMFX</v>
      </c>
      <c r="BV36" s="4" t="str">
        <f>AO36</f>
        <v>Total</v>
      </c>
    </row>
    <row r="37" spans="1:86" x14ac:dyDescent="0.3">
      <c r="A37" t="s">
        <v>75</v>
      </c>
      <c r="B37" s="2">
        <v>20000</v>
      </c>
      <c r="C37" s="2">
        <v>30000</v>
      </c>
      <c r="F37" s="2">
        <v>20000</v>
      </c>
      <c r="H37" s="2">
        <v>30000</v>
      </c>
      <c r="I37" s="2">
        <f>SUM(B37:H37)</f>
        <v>100000</v>
      </c>
      <c r="N37" s="21"/>
      <c r="R37" t="str">
        <f>A37</f>
        <v>Stating Balance</v>
      </c>
      <c r="S37" s="2">
        <f>B37</f>
        <v>20000</v>
      </c>
      <c r="T37" s="2">
        <f t="shared" si="1"/>
        <v>30000</v>
      </c>
      <c r="U37" s="2">
        <f t="shared" si="1"/>
        <v>0</v>
      </c>
      <c r="V37" s="2">
        <f t="shared" si="1"/>
        <v>0</v>
      </c>
      <c r="W37" s="2">
        <f t="shared" si="1"/>
        <v>20000</v>
      </c>
      <c r="X37" s="2">
        <f t="shared" si="1"/>
        <v>0</v>
      </c>
      <c r="Y37" s="2">
        <f t="shared" si="1"/>
        <v>30000</v>
      </c>
      <c r="Z37" s="2">
        <f t="shared" si="1"/>
        <v>100000</v>
      </c>
      <c r="AD37" s="2"/>
      <c r="AE37" s="2"/>
      <c r="AG37" s="21" t="s">
        <v>90</v>
      </c>
      <c r="AH37" s="6">
        <f t="shared" ref="AH37:AH48" si="6">S37/$Z37</f>
        <v>0.2</v>
      </c>
      <c r="AI37" s="6">
        <f t="shared" ref="AI37:AI48" si="7">T37/$Z37</f>
        <v>0.3</v>
      </c>
      <c r="AJ37" s="23">
        <v>0.2</v>
      </c>
      <c r="AK37" s="23">
        <v>0.1</v>
      </c>
      <c r="AL37" s="6">
        <f t="shared" ref="AL37:AM52" si="8">W37/$Z37</f>
        <v>0.2</v>
      </c>
      <c r="AM37" s="23">
        <v>0.2</v>
      </c>
      <c r="AN37" s="6">
        <f>Y37/$Z37</f>
        <v>0.3</v>
      </c>
      <c r="AO37" s="6">
        <f>Z37/$Z37</f>
        <v>1</v>
      </c>
      <c r="AP37" s="24"/>
      <c r="AS37" s="21" t="str">
        <f>R37</f>
        <v>Stating Balance</v>
      </c>
      <c r="AT37" s="24">
        <f t="shared" si="3"/>
        <v>0.2</v>
      </c>
      <c r="AU37" s="24">
        <f t="shared" si="3"/>
        <v>0.3</v>
      </c>
      <c r="AV37" s="25">
        <f t="shared" si="3"/>
        <v>0.2</v>
      </c>
      <c r="AW37" s="25">
        <f t="shared" si="3"/>
        <v>0.1</v>
      </c>
      <c r="AX37" s="24">
        <f t="shared" si="3"/>
        <v>0.2</v>
      </c>
      <c r="AY37" s="25">
        <f t="shared" si="3"/>
        <v>0.2</v>
      </c>
      <c r="AZ37" s="24">
        <f t="shared" si="3"/>
        <v>0.3</v>
      </c>
      <c r="BA37" s="24">
        <f>BV37</f>
        <v>1</v>
      </c>
      <c r="BB37" s="2"/>
      <c r="BC37" s="2"/>
      <c r="BM37" s="24"/>
      <c r="BN37" s="21" t="str">
        <f t="shared" si="5"/>
        <v>Target Allocation</v>
      </c>
      <c r="BO37" s="24">
        <f t="shared" si="4"/>
        <v>0.2</v>
      </c>
      <c r="BP37" s="24">
        <f t="shared" si="4"/>
        <v>0.3</v>
      </c>
      <c r="BQ37" s="25">
        <f t="shared" si="4"/>
        <v>0.2</v>
      </c>
      <c r="BR37" s="25">
        <f t="shared" si="4"/>
        <v>0.1</v>
      </c>
      <c r="BS37" s="24">
        <f t="shared" si="4"/>
        <v>0.2</v>
      </c>
      <c r="BT37" s="25">
        <f t="shared" si="4"/>
        <v>0.2</v>
      </c>
      <c r="BU37" s="24">
        <f t="shared" si="4"/>
        <v>0.3</v>
      </c>
      <c r="BV37" s="24">
        <f>AO37</f>
        <v>1</v>
      </c>
    </row>
    <row r="38" spans="1:86" x14ac:dyDescent="0.3">
      <c r="A38">
        <f t="shared" ref="A38:A65" si="9">A4</f>
        <v>1988</v>
      </c>
      <c r="B38" s="2">
        <f t="shared" ref="B38:C38" si="10">B37*(1+(B4/100))</f>
        <v>23243.999999999996</v>
      </c>
      <c r="C38" s="2">
        <f t="shared" si="10"/>
        <v>35924.1</v>
      </c>
      <c r="D38" s="2"/>
      <c r="E38" s="2"/>
      <c r="F38" s="2">
        <f t="shared" ref="F38" si="11">F37*(1+(F4/100))</f>
        <v>23755.600000000002</v>
      </c>
      <c r="G38" s="2"/>
      <c r="H38" s="2">
        <f t="shared" ref="H38" si="12">H37*(1+(H4/100))</f>
        <v>32204.999999999996</v>
      </c>
      <c r="I38" s="2">
        <f>SUM(B38:H38)</f>
        <v>115128.7</v>
      </c>
      <c r="J38" s="2">
        <f>I38-I37</f>
        <v>15128.699999999997</v>
      </c>
      <c r="K38" s="6">
        <f>(J38/I37)</f>
        <v>0.15128699999999998</v>
      </c>
      <c r="L38" s="7">
        <f>K38+1</f>
        <v>1.1512869999999999</v>
      </c>
      <c r="N38">
        <f>A38</f>
        <v>1988</v>
      </c>
      <c r="O38" s="2">
        <f>I38*0.04</f>
        <v>4605.1480000000001</v>
      </c>
      <c r="P38" s="2"/>
      <c r="Q38" s="2"/>
      <c r="R38">
        <f>A38</f>
        <v>1988</v>
      </c>
      <c r="S38" s="2">
        <f>B38-($O38/4)</f>
        <v>22092.712999999996</v>
      </c>
      <c r="T38" s="2">
        <f>C38-($O38/4)</f>
        <v>34772.813000000002</v>
      </c>
      <c r="U38" s="2"/>
      <c r="V38" s="2"/>
      <c r="W38" s="2">
        <f t="shared" ref="W38:W46" si="13">F38-($O38/4)</f>
        <v>22604.313000000002</v>
      </c>
      <c r="X38" s="2"/>
      <c r="Y38" s="2">
        <f>H38-($O38/4)</f>
        <v>31053.712999999996</v>
      </c>
      <c r="Z38" s="2">
        <f>SUM(S38:Y38)</f>
        <v>110523.552</v>
      </c>
      <c r="AA38" s="2">
        <f>Z38-Z37</f>
        <v>10523.551999999996</v>
      </c>
      <c r="AB38" s="6">
        <f>(AA38/Z37)</f>
        <v>0.10523551999999996</v>
      </c>
      <c r="AC38" s="7">
        <f>AB38+1</f>
        <v>1.1052355199999999</v>
      </c>
      <c r="AD38" s="2">
        <f>Z38-(I38-O38)</f>
        <v>0</v>
      </c>
      <c r="AE38" s="2"/>
      <c r="AG38">
        <f t="shared" ref="AG38:AG62" si="14">A38</f>
        <v>1988</v>
      </c>
      <c r="AH38" s="6">
        <f t="shared" si="6"/>
        <v>0.19989144938085229</v>
      </c>
      <c r="AI38" s="6">
        <f t="shared" si="7"/>
        <v>0.31461903251173112</v>
      </c>
      <c r="AJ38" s="7"/>
      <c r="AK38" s="7"/>
      <c r="AL38" s="6">
        <f t="shared" si="8"/>
        <v>0.20452032703400633</v>
      </c>
      <c r="AM38" s="7"/>
      <c r="AN38" s="6">
        <f t="shared" ref="AN38:AN62" si="15">Y38/$Z38</f>
        <v>0.28096919107341028</v>
      </c>
      <c r="AO38" s="6">
        <f>SUM(AH38:AN38)</f>
        <v>1</v>
      </c>
      <c r="AP38" s="7">
        <f>SUM(AH38:AM38)</f>
        <v>0.71903080892658977</v>
      </c>
      <c r="AQ38" s="7">
        <f>AO38-(AP38+AN38)</f>
        <v>0</v>
      </c>
      <c r="AR38" s="7"/>
      <c r="AS38">
        <f>A38</f>
        <v>1988</v>
      </c>
      <c r="AT38" s="2">
        <f t="shared" ref="AT38:AT48" si="16">S38</f>
        <v>22092.712999999996</v>
      </c>
      <c r="AU38" s="2">
        <f t="shared" ref="AU38:AU48" si="17">T38</f>
        <v>34772.813000000002</v>
      </c>
      <c r="AV38" s="2"/>
      <c r="AW38" s="2"/>
      <c r="AX38" s="2">
        <f t="shared" ref="AX38:AX46" si="18">W38</f>
        <v>22604.313000000002</v>
      </c>
      <c r="AY38" s="2"/>
      <c r="AZ38" s="2">
        <f t="shared" ref="AZ38:AZ51" si="19">Y38</f>
        <v>31053.712999999996</v>
      </c>
      <c r="BA38" s="2">
        <f t="shared" ref="BA38:BA51" si="20">Z38</f>
        <v>110523.552</v>
      </c>
      <c r="BB38" s="2">
        <f t="shared" ref="BB38:BB60" si="21">SUM(AT38:AZ38)-Z38</f>
        <v>0</v>
      </c>
      <c r="BC38" s="2"/>
      <c r="BM38" s="24"/>
      <c r="BN38">
        <f t="shared" si="5"/>
        <v>1988</v>
      </c>
      <c r="BO38" s="1" t="b">
        <f>AND((S38/$Z38)&gt;0.15,(S38/$Z38)&lt;0.25)</f>
        <v>1</v>
      </c>
      <c r="BP38" s="1" t="b">
        <f>AND((T38/$Z38)&gt;0.25,(T38/$Z38)&lt;0.35)</f>
        <v>1</v>
      </c>
      <c r="BS38" s="1" t="b">
        <f t="shared" ref="BS38:BS46" si="22">AND((W38/$Z38)&gt;0.15,(W38/$Z38)&lt;0.25)</f>
        <v>1</v>
      </c>
      <c r="BU38" s="1" t="b">
        <f>AND((Y38/$Z38)&gt;0.25,(Y38/$Z38)&lt;0.35)</f>
        <v>1</v>
      </c>
      <c r="BV38" s="1" t="b">
        <f>AND((Z38/$Z38)&gt;0.999,(Z38/$Z38)&lt;1.01)</f>
        <v>1</v>
      </c>
      <c r="CH38" s="2"/>
    </row>
    <row r="39" spans="1:86" x14ac:dyDescent="0.3">
      <c r="A39">
        <f t="shared" si="9"/>
        <v>1989</v>
      </c>
      <c r="B39" s="2">
        <f t="shared" ref="B39:B48" si="23">AT38*(1+(B5/100))</f>
        <v>29020.987796799996</v>
      </c>
      <c r="C39" s="2">
        <f t="shared" ref="C39:C48" si="24">AU38*(1+(C5/100))</f>
        <v>43151.670020480007</v>
      </c>
      <c r="D39" s="2"/>
      <c r="E39" s="2"/>
      <c r="F39" s="2">
        <f t="shared" ref="F39:F46" si="25">AX38*(1+(F5/100))</f>
        <v>28474.879129230005</v>
      </c>
      <c r="G39" s="2"/>
      <c r="H39" s="2">
        <f t="shared" ref="H39:H62" si="26">AZ38*(1+(H5/100))</f>
        <v>35289.439453200001</v>
      </c>
      <c r="I39" s="2">
        <f>SUM(B39:H39)</f>
        <v>135936.97639970999</v>
      </c>
      <c r="J39" s="2">
        <f t="shared" ref="J39:J62" si="27">I39-I38</f>
        <v>20808.276399709997</v>
      </c>
      <c r="K39" s="6">
        <f t="shared" ref="K39:K62" si="28">(J39/I38)</f>
        <v>0.18073926310042585</v>
      </c>
      <c r="L39" s="7">
        <f t="shared" ref="L39:L62" si="29">K39+1</f>
        <v>1.1807392631004259</v>
      </c>
      <c r="N39">
        <f t="shared" ref="N39:N62" si="30">A39</f>
        <v>1989</v>
      </c>
      <c r="O39" s="2">
        <f t="shared" ref="O39:O65" si="31">O38*(1+O5)</f>
        <v>4816.9848080000002</v>
      </c>
      <c r="P39" s="2"/>
      <c r="Q39" s="2"/>
      <c r="R39">
        <f t="shared" ref="R39:R62" si="32">A39</f>
        <v>1989</v>
      </c>
      <c r="S39" s="2">
        <f>B39-($O39/4)</f>
        <v>27816.741594799998</v>
      </c>
      <c r="T39" s="2">
        <f>C39-($O39/4)</f>
        <v>41947.423818480005</v>
      </c>
      <c r="U39" s="2"/>
      <c r="V39" s="2"/>
      <c r="W39" s="2">
        <f t="shared" ref="W39" si="33">F39-($O39/4)</f>
        <v>27270.632927230006</v>
      </c>
      <c r="X39" s="2"/>
      <c r="Y39" s="2">
        <f>H39-($O39/4)</f>
        <v>34085.193251199998</v>
      </c>
      <c r="Z39" s="2">
        <f>SUM(S39:Y39)</f>
        <v>131119.99159171002</v>
      </c>
      <c r="AA39" s="2">
        <f t="shared" ref="AA39:AA53" si="34">Z39-Z38</f>
        <v>20596.439591710019</v>
      </c>
      <c r="AB39" s="6">
        <f t="shared" ref="AB39:AB53" si="35">(AA39/Z38)</f>
        <v>0.18635339906294379</v>
      </c>
      <c r="AC39" s="7">
        <f t="shared" ref="AC39:AC62" si="36">AB39+1</f>
        <v>1.1863533990629438</v>
      </c>
      <c r="AD39" s="2">
        <f>Z39-(I39-O39)</f>
        <v>0</v>
      </c>
      <c r="AE39" s="2"/>
      <c r="AG39">
        <f t="shared" si="14"/>
        <v>1989</v>
      </c>
      <c r="AH39" s="6">
        <f t="shared" si="6"/>
        <v>0.21214721917781679</v>
      </c>
      <c r="AI39" s="6">
        <f t="shared" si="7"/>
        <v>0.3199163095517778</v>
      </c>
      <c r="AJ39" s="7"/>
      <c r="AK39" s="7"/>
      <c r="AL39" s="6">
        <f t="shared" si="8"/>
        <v>0.20798226568033257</v>
      </c>
      <c r="AM39" s="7"/>
      <c r="AN39" s="6">
        <f t="shared" si="15"/>
        <v>0.25995420559007276</v>
      </c>
      <c r="AO39" s="6">
        <f t="shared" ref="AO39:AO62" si="37">SUM(AH39:AN39)</f>
        <v>1</v>
      </c>
      <c r="AP39" s="7">
        <f t="shared" ref="AP39:AP62" si="38">SUM(AH39:AM39)</f>
        <v>0.74004579440992724</v>
      </c>
      <c r="AQ39" s="7">
        <f t="shared" ref="AQ39:AQ62" si="39">AO39-(AP39+AN39)</f>
        <v>0</v>
      </c>
      <c r="AR39" s="7"/>
      <c r="AS39">
        <f t="shared" ref="AS39:AS64" si="40">A39</f>
        <v>1989</v>
      </c>
      <c r="AT39" s="2">
        <f t="shared" si="16"/>
        <v>27816.741594799998</v>
      </c>
      <c r="AU39" s="2">
        <f t="shared" si="17"/>
        <v>41947.423818480005</v>
      </c>
      <c r="AV39" s="2"/>
      <c r="AW39" s="2"/>
      <c r="AX39" s="2">
        <f t="shared" si="18"/>
        <v>27270.632927230006</v>
      </c>
      <c r="AY39" s="2"/>
      <c r="AZ39" s="2">
        <f t="shared" si="19"/>
        <v>34085.193251199998</v>
      </c>
      <c r="BA39" s="2">
        <f t="shared" si="20"/>
        <v>131119.99159171002</v>
      </c>
      <c r="BB39" s="2">
        <f t="shared" si="21"/>
        <v>0</v>
      </c>
      <c r="BC39" s="2"/>
      <c r="BM39" s="24"/>
      <c r="BN39">
        <f t="shared" si="5"/>
        <v>1989</v>
      </c>
      <c r="BO39" s="1" t="b">
        <f t="shared" ref="BO39:BO64" si="41">AND((S39/$Z39)&gt;0.15,(S39/$Z39)&lt;0.25)</f>
        <v>1</v>
      </c>
      <c r="BP39" s="1" t="b">
        <f t="shared" ref="BP39:BP48" si="42">AND((T39/$Z39)&gt;0.25,(T39/$Z39)&lt;0.35)</f>
        <v>1</v>
      </c>
      <c r="BS39" s="1" t="b">
        <f t="shared" si="22"/>
        <v>1</v>
      </c>
      <c r="BU39" s="1" t="b">
        <f t="shared" ref="BU39:BU64" si="43">AND((Y39/$Z39)&gt;0.25,(Y39/$Z39)&lt;0.35)</f>
        <v>1</v>
      </c>
      <c r="BV39" s="1" t="b">
        <f t="shared" ref="BV39:BV64" si="44">AND((Z39/$Z39)&gt;0.999,(Z39/$Z39)&lt;1.01)</f>
        <v>1</v>
      </c>
      <c r="CH39" s="2"/>
    </row>
    <row r="40" spans="1:86" x14ac:dyDescent="0.3">
      <c r="A40">
        <f t="shared" si="9"/>
        <v>1990</v>
      </c>
      <c r="B40" s="2">
        <f t="shared" si="23"/>
        <v>26893.225773852639</v>
      </c>
      <c r="C40" s="2">
        <f t="shared" si="24"/>
        <v>36055.908143174493</v>
      </c>
      <c r="D40" s="2"/>
      <c r="E40" s="2"/>
      <c r="F40" s="2">
        <f t="shared" si="25"/>
        <v>23927.253330351607</v>
      </c>
      <c r="G40" s="2"/>
      <c r="H40" s="2">
        <f t="shared" si="26"/>
        <v>37033.562467428797</v>
      </c>
      <c r="I40" s="2">
        <f t="shared" ref="I40:I62" si="45">SUM(B40:H40)</f>
        <v>123909.94971480753</v>
      </c>
      <c r="J40" s="2">
        <f t="shared" si="27"/>
        <v>-12027.026684902463</v>
      </c>
      <c r="K40" s="6">
        <f t="shared" si="28"/>
        <v>-8.8475019846977573E-2</v>
      </c>
      <c r="L40" s="7">
        <f t="shared" si="29"/>
        <v>0.91152498015302241</v>
      </c>
      <c r="N40">
        <f t="shared" si="30"/>
        <v>1990</v>
      </c>
      <c r="O40" s="2">
        <f t="shared" si="31"/>
        <v>5120.4548509039996</v>
      </c>
      <c r="P40" s="2"/>
      <c r="Q40" s="2"/>
      <c r="R40">
        <f t="shared" si="32"/>
        <v>1990</v>
      </c>
      <c r="S40" s="2">
        <f t="shared" ref="S40:T47" si="46">B40-($O40/4)</f>
        <v>25613.112061126638</v>
      </c>
      <c r="T40" s="2">
        <f t="shared" si="46"/>
        <v>34775.794430448492</v>
      </c>
      <c r="U40" s="2"/>
      <c r="V40" s="2"/>
      <c r="W40" s="2">
        <f t="shared" si="13"/>
        <v>22647.139617625606</v>
      </c>
      <c r="X40" s="2"/>
      <c r="Y40" s="2">
        <f t="shared" ref="Y40:Y47" si="47">H40-($O40/4)</f>
        <v>35753.448754702797</v>
      </c>
      <c r="Z40" s="2">
        <f t="shared" ref="Z40:Z62" si="48">SUM(S40:Y40)</f>
        <v>118789.49486390353</v>
      </c>
      <c r="AA40" s="2">
        <f t="shared" si="34"/>
        <v>-12330.496727806487</v>
      </c>
      <c r="AB40" s="6">
        <f t="shared" si="35"/>
        <v>-9.4039791935023848E-2</v>
      </c>
      <c r="AC40" s="7">
        <f t="shared" si="36"/>
        <v>0.90596020806497612</v>
      </c>
      <c r="AD40" s="2">
        <f t="shared" ref="AD40:AD62" si="49">Z40-(I40-O40)</f>
        <v>0</v>
      </c>
      <c r="AE40" s="2"/>
      <c r="AG40">
        <f t="shared" si="14"/>
        <v>1990</v>
      </c>
      <c r="AH40" s="6">
        <f t="shared" si="6"/>
        <v>0.21561765281072573</v>
      </c>
      <c r="AI40" s="6">
        <f t="shared" si="7"/>
        <v>0.29275142949543587</v>
      </c>
      <c r="AJ40" s="7"/>
      <c r="AK40" s="7"/>
      <c r="AL40" s="6">
        <f t="shared" si="8"/>
        <v>0.19064934692728772</v>
      </c>
      <c r="AM40" s="7"/>
      <c r="AN40" s="6">
        <f t="shared" si="15"/>
        <v>0.30098157076655074</v>
      </c>
      <c r="AO40" s="6">
        <f t="shared" si="37"/>
        <v>1</v>
      </c>
      <c r="AP40" s="7">
        <f t="shared" si="38"/>
        <v>0.69901842923344937</v>
      </c>
      <c r="AQ40" s="7">
        <f t="shared" si="39"/>
        <v>0</v>
      </c>
      <c r="AR40" s="7"/>
      <c r="AS40">
        <f t="shared" si="40"/>
        <v>1990</v>
      </c>
      <c r="AT40" s="2">
        <f t="shared" si="16"/>
        <v>25613.112061126638</v>
      </c>
      <c r="AU40" s="2">
        <f t="shared" si="17"/>
        <v>34775.794430448492</v>
      </c>
      <c r="AV40" s="2"/>
      <c r="AW40" s="2"/>
      <c r="AX40" s="2">
        <f t="shared" si="18"/>
        <v>22647.139617625606</v>
      </c>
      <c r="AY40" s="2"/>
      <c r="AZ40" s="2">
        <f t="shared" si="19"/>
        <v>35753.448754702797</v>
      </c>
      <c r="BA40" s="2">
        <f t="shared" si="20"/>
        <v>118789.49486390353</v>
      </c>
      <c r="BB40" s="2">
        <f t="shared" si="21"/>
        <v>0</v>
      </c>
      <c r="BC40" s="2"/>
      <c r="BM40" s="24"/>
      <c r="BN40">
        <f t="shared" si="5"/>
        <v>1990</v>
      </c>
      <c r="BO40" s="1" t="b">
        <f t="shared" si="41"/>
        <v>1</v>
      </c>
      <c r="BP40" s="1" t="b">
        <f t="shared" si="42"/>
        <v>1</v>
      </c>
      <c r="BS40" s="1" t="b">
        <f t="shared" si="22"/>
        <v>1</v>
      </c>
      <c r="BU40" s="1" t="b">
        <f t="shared" si="43"/>
        <v>1</v>
      </c>
      <c r="BV40" s="1" t="b">
        <f t="shared" si="44"/>
        <v>1</v>
      </c>
      <c r="CH40" s="2"/>
    </row>
    <row r="41" spans="1:86" x14ac:dyDescent="0.3">
      <c r="A41">
        <f t="shared" si="9"/>
        <v>1991</v>
      </c>
      <c r="B41" s="2">
        <f t="shared" si="23"/>
        <v>33353.394525999109</v>
      </c>
      <c r="C41" s="2">
        <f t="shared" si="24"/>
        <v>49329.46439959119</v>
      </c>
      <c r="D41" s="2"/>
      <c r="E41" s="2"/>
      <c r="F41" s="2">
        <f t="shared" si="25"/>
        <v>24901.888837956412</v>
      </c>
      <c r="G41" s="2"/>
      <c r="H41" s="2">
        <f t="shared" si="26"/>
        <v>41205.849689794974</v>
      </c>
      <c r="I41" s="2">
        <f t="shared" si="45"/>
        <v>148790.59745334167</v>
      </c>
      <c r="J41" s="2">
        <f t="shared" si="27"/>
        <v>24880.647738534142</v>
      </c>
      <c r="K41" s="6">
        <f t="shared" si="28"/>
        <v>0.20079620559769176</v>
      </c>
      <c r="L41" s="7">
        <f t="shared" si="29"/>
        <v>1.2007962055976917</v>
      </c>
      <c r="N41">
        <f t="shared" si="30"/>
        <v>1991</v>
      </c>
      <c r="O41" s="2">
        <f t="shared" si="31"/>
        <v>5274.0684964311195</v>
      </c>
      <c r="P41" s="2"/>
      <c r="Q41" s="2"/>
      <c r="R41">
        <f t="shared" si="32"/>
        <v>1991</v>
      </c>
      <c r="S41" s="2">
        <f t="shared" si="46"/>
        <v>32034.877401891328</v>
      </c>
      <c r="T41" s="2">
        <f t="shared" si="46"/>
        <v>48010.947275483413</v>
      </c>
      <c r="U41" s="2"/>
      <c r="V41" s="2"/>
      <c r="W41" s="2">
        <f t="shared" si="13"/>
        <v>23583.371713848632</v>
      </c>
      <c r="X41" s="2"/>
      <c r="Y41" s="2">
        <f t="shared" si="47"/>
        <v>39887.332565687197</v>
      </c>
      <c r="Z41" s="2">
        <f t="shared" si="48"/>
        <v>143516.52895691057</v>
      </c>
      <c r="AA41" s="2">
        <f t="shared" si="34"/>
        <v>24727.034093007038</v>
      </c>
      <c r="AB41" s="6">
        <f t="shared" si="35"/>
        <v>0.2081584244577912</v>
      </c>
      <c r="AC41" s="7">
        <f t="shared" si="36"/>
        <v>1.2081584244577912</v>
      </c>
      <c r="AD41" s="2">
        <f t="shared" si="49"/>
        <v>0</v>
      </c>
      <c r="AE41" s="2"/>
      <c r="AG41">
        <f t="shared" si="14"/>
        <v>1991</v>
      </c>
      <c r="AH41" s="6">
        <f t="shared" si="6"/>
        <v>0.22321385302949659</v>
      </c>
      <c r="AI41" s="6">
        <f t="shared" si="7"/>
        <v>0.3345325282351152</v>
      </c>
      <c r="AJ41" s="7"/>
      <c r="AK41" s="7"/>
      <c r="AL41" s="6">
        <f t="shared" si="8"/>
        <v>0.16432512606913249</v>
      </c>
      <c r="AM41" s="7"/>
      <c r="AN41" s="6">
        <f t="shared" si="15"/>
        <v>0.27792849266625574</v>
      </c>
      <c r="AO41" s="6">
        <f t="shared" si="37"/>
        <v>1</v>
      </c>
      <c r="AP41" s="7">
        <f t="shared" si="38"/>
        <v>0.72207150733374426</v>
      </c>
      <c r="AQ41" s="7">
        <f t="shared" si="39"/>
        <v>0</v>
      </c>
      <c r="AR41" s="7"/>
      <c r="AS41">
        <f t="shared" si="40"/>
        <v>1991</v>
      </c>
      <c r="AT41" s="2">
        <f t="shared" si="16"/>
        <v>32034.877401891328</v>
      </c>
      <c r="AU41" s="2">
        <f t="shared" si="17"/>
        <v>48010.947275483413</v>
      </c>
      <c r="AV41" s="2"/>
      <c r="AW41" s="2"/>
      <c r="AX41" s="2">
        <f t="shared" si="18"/>
        <v>23583.371713848632</v>
      </c>
      <c r="AY41" s="2"/>
      <c r="AZ41" s="2">
        <f t="shared" si="19"/>
        <v>39887.332565687197</v>
      </c>
      <c r="BA41" s="2">
        <f t="shared" si="20"/>
        <v>143516.52895691057</v>
      </c>
      <c r="BB41" s="2">
        <f t="shared" si="21"/>
        <v>0</v>
      </c>
      <c r="BC41" s="2"/>
      <c r="BM41" s="24"/>
      <c r="BN41">
        <f t="shared" si="5"/>
        <v>1991</v>
      </c>
      <c r="BO41" s="1" t="b">
        <f t="shared" si="41"/>
        <v>1</v>
      </c>
      <c r="BP41" s="1" t="b">
        <f t="shared" si="42"/>
        <v>1</v>
      </c>
      <c r="BS41" s="1" t="b">
        <f t="shared" si="22"/>
        <v>1</v>
      </c>
      <c r="BU41" s="1" t="b">
        <f t="shared" si="43"/>
        <v>1</v>
      </c>
      <c r="BV41" s="1" t="b">
        <f t="shared" si="44"/>
        <v>1</v>
      </c>
      <c r="CH41" s="2"/>
    </row>
    <row r="42" spans="1:86" x14ac:dyDescent="0.3">
      <c r="A42">
        <f t="shared" si="9"/>
        <v>1992</v>
      </c>
      <c r="B42" s="2">
        <f t="shared" si="23"/>
        <v>34411.865305111663</v>
      </c>
      <c r="C42" s="2">
        <f t="shared" si="24"/>
        <v>53995.991962845175</v>
      </c>
      <c r="D42" s="2"/>
      <c r="E42" s="2"/>
      <c r="F42" s="2">
        <f t="shared" si="25"/>
        <v>21526.665866683892</v>
      </c>
      <c r="G42" s="2"/>
      <c r="H42" s="2">
        <f t="shared" si="26"/>
        <v>42735.288110877256</v>
      </c>
      <c r="I42" s="2">
        <f t="shared" si="45"/>
        <v>152669.81124551798</v>
      </c>
      <c r="J42" s="2">
        <f t="shared" si="27"/>
        <v>3879.213792176306</v>
      </c>
      <c r="K42" s="6">
        <f t="shared" si="28"/>
        <v>2.607163260697817E-2</v>
      </c>
      <c r="L42" s="7">
        <f t="shared" si="29"/>
        <v>1.0260716326069781</v>
      </c>
      <c r="N42">
        <f t="shared" si="30"/>
        <v>1992</v>
      </c>
      <c r="O42" s="2">
        <f t="shared" si="31"/>
        <v>5432.290551324053</v>
      </c>
      <c r="P42" s="2"/>
      <c r="Q42" s="2"/>
      <c r="R42">
        <f t="shared" si="32"/>
        <v>1992</v>
      </c>
      <c r="S42" s="2">
        <f t="shared" si="46"/>
        <v>33053.79266728065</v>
      </c>
      <c r="T42" s="2">
        <f t="shared" si="46"/>
        <v>52637.919325014162</v>
      </c>
      <c r="U42" s="2"/>
      <c r="V42" s="2"/>
      <c r="W42" s="2">
        <f t="shared" si="13"/>
        <v>20168.593228852878</v>
      </c>
      <c r="X42" s="2"/>
      <c r="Y42" s="2">
        <f t="shared" si="47"/>
        <v>41377.215473046243</v>
      </c>
      <c r="Z42" s="2">
        <f t="shared" si="48"/>
        <v>147237.52069419393</v>
      </c>
      <c r="AA42" s="2">
        <f t="shared" si="34"/>
        <v>3720.9917372833588</v>
      </c>
      <c r="AB42" s="6">
        <f t="shared" si="35"/>
        <v>2.5927269592762727E-2</v>
      </c>
      <c r="AC42" s="7">
        <f t="shared" si="36"/>
        <v>1.0259272695927628</v>
      </c>
      <c r="AD42" s="2">
        <f t="shared" si="49"/>
        <v>0</v>
      </c>
      <c r="AE42" s="2"/>
      <c r="AG42">
        <f t="shared" si="14"/>
        <v>1992</v>
      </c>
      <c r="AH42" s="62">
        <f t="shared" si="6"/>
        <v>0.22449299955228105</v>
      </c>
      <c r="AI42" s="62">
        <f t="shared" si="7"/>
        <v>0.35750343442919608</v>
      </c>
      <c r="AJ42" s="63"/>
      <c r="AK42" s="63"/>
      <c r="AL42" s="62">
        <f t="shared" si="8"/>
        <v>0.13697998399974548</v>
      </c>
      <c r="AM42" s="63"/>
      <c r="AN42" s="62">
        <f t="shared" si="15"/>
        <v>0.28102358201877742</v>
      </c>
      <c r="AO42" s="6">
        <f t="shared" si="37"/>
        <v>1</v>
      </c>
      <c r="AP42" s="7">
        <f t="shared" si="38"/>
        <v>0.71897641798122258</v>
      </c>
      <c r="AQ42" s="7">
        <f t="shared" si="39"/>
        <v>0</v>
      </c>
      <c r="AR42" s="7"/>
      <c r="AS42">
        <f t="shared" si="40"/>
        <v>1992</v>
      </c>
      <c r="AT42" s="2">
        <f t="shared" si="16"/>
        <v>33053.79266728065</v>
      </c>
      <c r="AU42" s="2">
        <f t="shared" si="17"/>
        <v>52637.919325014162</v>
      </c>
      <c r="AV42" s="2"/>
      <c r="AW42" s="2"/>
      <c r="AX42" s="2">
        <f t="shared" si="18"/>
        <v>20168.593228852878</v>
      </c>
      <c r="AY42" s="2"/>
      <c r="AZ42" s="2">
        <f t="shared" si="19"/>
        <v>41377.215473046243</v>
      </c>
      <c r="BA42" s="2">
        <f t="shared" si="20"/>
        <v>147237.52069419393</v>
      </c>
      <c r="BB42" s="2">
        <f t="shared" si="21"/>
        <v>0</v>
      </c>
      <c r="BC42" s="2"/>
      <c r="BM42" s="24"/>
      <c r="BN42">
        <f t="shared" si="5"/>
        <v>1992</v>
      </c>
      <c r="BO42" s="1" t="b">
        <f t="shared" si="41"/>
        <v>1</v>
      </c>
      <c r="BP42" s="28" t="b">
        <f t="shared" si="42"/>
        <v>0</v>
      </c>
      <c r="BS42" s="28" t="b">
        <f t="shared" si="22"/>
        <v>0</v>
      </c>
      <c r="BU42" s="1" t="b">
        <f t="shared" si="43"/>
        <v>1</v>
      </c>
      <c r="BV42" s="1" t="b">
        <f t="shared" si="44"/>
        <v>1</v>
      </c>
      <c r="CH42" s="2"/>
    </row>
    <row r="43" spans="1:86" x14ac:dyDescent="0.3">
      <c r="A43">
        <f t="shared" si="9"/>
        <v>1993</v>
      </c>
      <c r="B43" s="2">
        <f t="shared" si="23"/>
        <v>36322.812762074704</v>
      </c>
      <c r="C43" s="2">
        <f t="shared" si="24"/>
        <v>60265.153835208715</v>
      </c>
      <c r="D43" s="2"/>
      <c r="E43" s="2"/>
      <c r="F43" s="2">
        <f t="shared" si="25"/>
        <v>26318.804048059275</v>
      </c>
      <c r="G43" s="2"/>
      <c r="H43" s="2">
        <f t="shared" si="26"/>
        <v>45382.529930837118</v>
      </c>
      <c r="I43" s="2">
        <f t="shared" si="45"/>
        <v>168289.30057617981</v>
      </c>
      <c r="J43" s="2">
        <f t="shared" si="27"/>
        <v>15619.489330661832</v>
      </c>
      <c r="K43" s="6">
        <f t="shared" si="28"/>
        <v>0.10230895815770115</v>
      </c>
      <c r="L43" s="7">
        <f t="shared" si="29"/>
        <v>1.1023089581577012</v>
      </c>
      <c r="N43">
        <f t="shared" si="30"/>
        <v>1993</v>
      </c>
      <c r="O43" s="2">
        <f t="shared" si="31"/>
        <v>5584.3946867611266</v>
      </c>
      <c r="P43" s="2"/>
      <c r="Q43" s="2"/>
      <c r="R43">
        <f t="shared" si="32"/>
        <v>1993</v>
      </c>
      <c r="S43" s="2">
        <f t="shared" si="46"/>
        <v>34926.714090384419</v>
      </c>
      <c r="T43" s="2">
        <f t="shared" si="46"/>
        <v>58869.055163518431</v>
      </c>
      <c r="U43" s="2"/>
      <c r="V43" s="2"/>
      <c r="W43" s="2">
        <f t="shared" si="13"/>
        <v>24922.705376368995</v>
      </c>
      <c r="X43" s="2"/>
      <c r="Y43" s="2">
        <f t="shared" si="47"/>
        <v>43986.431259146833</v>
      </c>
      <c r="Z43" s="2">
        <f t="shared" si="48"/>
        <v>162704.90588941867</v>
      </c>
      <c r="AA43" s="2">
        <f t="shared" si="34"/>
        <v>15467.38519522475</v>
      </c>
      <c r="AB43" s="6">
        <f t="shared" si="35"/>
        <v>0.10505056810451088</v>
      </c>
      <c r="AC43" s="7">
        <f t="shared" si="36"/>
        <v>1.1050505681045109</v>
      </c>
      <c r="AD43" s="2">
        <f t="shared" si="49"/>
        <v>0</v>
      </c>
      <c r="AE43" s="2"/>
      <c r="AG43">
        <f t="shared" si="14"/>
        <v>1993</v>
      </c>
      <c r="AH43" s="62">
        <f t="shared" si="6"/>
        <v>0.21466294393189431</v>
      </c>
      <c r="AI43" s="62">
        <f t="shared" si="7"/>
        <v>0.36181487486018643</v>
      </c>
      <c r="AJ43" s="63"/>
      <c r="AK43" s="63"/>
      <c r="AL43" s="62">
        <f t="shared" si="8"/>
        <v>0.15317734422407367</v>
      </c>
      <c r="AM43" s="63"/>
      <c r="AN43" s="62">
        <f t="shared" si="15"/>
        <v>0.27034483698384559</v>
      </c>
      <c r="AO43" s="6">
        <f t="shared" si="37"/>
        <v>1</v>
      </c>
      <c r="AP43" s="7">
        <f t="shared" si="38"/>
        <v>0.72965516301615441</v>
      </c>
      <c r="AQ43" s="7">
        <f t="shared" si="39"/>
        <v>0</v>
      </c>
      <c r="AR43" s="7"/>
      <c r="AS43">
        <f t="shared" si="40"/>
        <v>1993</v>
      </c>
      <c r="AT43" s="2">
        <f t="shared" si="16"/>
        <v>34926.714090384419</v>
      </c>
      <c r="AU43" s="2">
        <f t="shared" si="17"/>
        <v>58869.055163518431</v>
      </c>
      <c r="AV43" s="2"/>
      <c r="AW43" s="2"/>
      <c r="AX43" s="2">
        <f t="shared" si="18"/>
        <v>24922.705376368995</v>
      </c>
      <c r="AY43" s="2"/>
      <c r="AZ43" s="2">
        <f t="shared" si="19"/>
        <v>43986.431259146833</v>
      </c>
      <c r="BA43" s="2">
        <f t="shared" si="20"/>
        <v>162704.90588941867</v>
      </c>
      <c r="BB43" s="2">
        <f t="shared" si="21"/>
        <v>0</v>
      </c>
      <c r="BC43" s="2"/>
      <c r="BM43" s="24"/>
      <c r="BN43">
        <f t="shared" si="5"/>
        <v>1993</v>
      </c>
      <c r="BO43" s="1" t="b">
        <f t="shared" si="41"/>
        <v>1</v>
      </c>
      <c r="BP43" s="1" t="b">
        <f t="shared" si="42"/>
        <v>0</v>
      </c>
      <c r="BS43" s="1" t="b">
        <f t="shared" si="22"/>
        <v>1</v>
      </c>
      <c r="BU43" s="1" t="b">
        <f t="shared" si="43"/>
        <v>1</v>
      </c>
      <c r="BV43" s="1" t="b">
        <f t="shared" si="44"/>
        <v>1</v>
      </c>
      <c r="CH43" s="2"/>
    </row>
    <row r="44" spans="1:86" x14ac:dyDescent="0.3">
      <c r="A44">
        <f t="shared" si="9"/>
        <v>1994</v>
      </c>
      <c r="B44" s="2">
        <f t="shared" si="23"/>
        <v>35338.849316650958</v>
      </c>
      <c r="C44" s="2">
        <f t="shared" si="24"/>
        <v>57830.605030433966</v>
      </c>
      <c r="D44" s="2"/>
      <c r="E44" s="2"/>
      <c r="F44" s="2">
        <f t="shared" si="25"/>
        <v>26232.393543897189</v>
      </c>
      <c r="G44" s="2"/>
      <c r="H44" s="2">
        <f t="shared" si="26"/>
        <v>42816.392187653531</v>
      </c>
      <c r="I44" s="2">
        <f t="shared" si="45"/>
        <v>162218.24007863563</v>
      </c>
      <c r="J44" s="2">
        <f t="shared" si="27"/>
        <v>-6071.060497544182</v>
      </c>
      <c r="K44" s="6">
        <f t="shared" si="28"/>
        <v>-3.6075142488312763E-2</v>
      </c>
      <c r="L44" s="7">
        <f t="shared" si="29"/>
        <v>0.96392485751168722</v>
      </c>
      <c r="N44">
        <f t="shared" si="30"/>
        <v>1994</v>
      </c>
      <c r="O44" s="2">
        <f t="shared" si="31"/>
        <v>5729.5889486169162</v>
      </c>
      <c r="P44" s="2"/>
      <c r="Q44" s="2"/>
      <c r="R44">
        <f t="shared" si="32"/>
        <v>1994</v>
      </c>
      <c r="S44" s="2">
        <f t="shared" si="46"/>
        <v>33906.452079496732</v>
      </c>
      <c r="T44" s="2">
        <f t="shared" si="46"/>
        <v>56398.20779327974</v>
      </c>
      <c r="U44" s="2"/>
      <c r="V44" s="2"/>
      <c r="W44" s="2">
        <f t="shared" si="13"/>
        <v>24799.99630674296</v>
      </c>
      <c r="X44" s="2"/>
      <c r="Y44" s="2">
        <f t="shared" si="47"/>
        <v>41383.994950499306</v>
      </c>
      <c r="Z44" s="2">
        <f t="shared" si="48"/>
        <v>156488.65113001876</v>
      </c>
      <c r="AA44" s="2">
        <f t="shared" si="34"/>
        <v>-6216.2547593999188</v>
      </c>
      <c r="AB44" s="6">
        <f t="shared" si="35"/>
        <v>-3.8205699609480462E-2</v>
      </c>
      <c r="AC44" s="7">
        <f t="shared" si="36"/>
        <v>0.9617943003905195</v>
      </c>
      <c r="AD44" s="2">
        <f t="shared" si="49"/>
        <v>0</v>
      </c>
      <c r="AE44" s="2"/>
      <c r="AG44">
        <f t="shared" si="14"/>
        <v>1994</v>
      </c>
      <c r="AH44" s="6">
        <f t="shared" si="6"/>
        <v>0.21667035810363988</v>
      </c>
      <c r="AI44" s="6">
        <f t="shared" si="7"/>
        <v>0.36039806967484966</v>
      </c>
      <c r="AJ44" s="7"/>
      <c r="AK44" s="7"/>
      <c r="AL44" s="6">
        <f t="shared" si="8"/>
        <v>0.15847792237750108</v>
      </c>
      <c r="AM44" s="7"/>
      <c r="AN44" s="6">
        <f t="shared" si="15"/>
        <v>0.26445364984400926</v>
      </c>
      <c r="AO44" s="6">
        <f t="shared" si="37"/>
        <v>1</v>
      </c>
      <c r="AP44" s="7">
        <f t="shared" si="38"/>
        <v>0.73554635015599068</v>
      </c>
      <c r="AQ44" s="7">
        <f t="shared" si="39"/>
        <v>0</v>
      </c>
      <c r="AR44" s="7"/>
      <c r="AS44">
        <f t="shared" si="40"/>
        <v>1994</v>
      </c>
      <c r="AT44" s="2">
        <f t="shared" si="16"/>
        <v>33906.452079496732</v>
      </c>
      <c r="AU44" s="2">
        <f t="shared" si="17"/>
        <v>56398.20779327974</v>
      </c>
      <c r="AV44" s="2"/>
      <c r="AW44" s="2"/>
      <c r="AX44" s="2">
        <f t="shared" si="18"/>
        <v>24799.99630674296</v>
      </c>
      <c r="AY44" s="2"/>
      <c r="AZ44" s="2">
        <f t="shared" si="19"/>
        <v>41383.994950499306</v>
      </c>
      <c r="BA44" s="2">
        <f t="shared" si="20"/>
        <v>156488.65113001876</v>
      </c>
      <c r="BB44" s="2">
        <f t="shared" si="21"/>
        <v>0</v>
      </c>
      <c r="BC44" s="2"/>
      <c r="BM44" s="24"/>
      <c r="BN44">
        <f t="shared" si="5"/>
        <v>1994</v>
      </c>
      <c r="BO44" s="1" t="b">
        <f t="shared" si="41"/>
        <v>1</v>
      </c>
      <c r="BP44" s="1" t="b">
        <f t="shared" si="42"/>
        <v>0</v>
      </c>
      <c r="BS44" s="1" t="b">
        <f t="shared" si="22"/>
        <v>1</v>
      </c>
      <c r="BU44" s="1" t="b">
        <f t="shared" si="43"/>
        <v>1</v>
      </c>
      <c r="BV44" s="1" t="b">
        <f t="shared" si="44"/>
        <v>1</v>
      </c>
      <c r="CH44" s="2"/>
    </row>
    <row r="45" spans="1:86" x14ac:dyDescent="0.3">
      <c r="A45">
        <f t="shared" si="9"/>
        <v>1995</v>
      </c>
      <c r="B45" s="2">
        <f t="shared" si="23"/>
        <v>46604.418383268261</v>
      </c>
      <c r="C45" s="2">
        <f t="shared" si="24"/>
        <v>75459.110081174484</v>
      </c>
      <c r="D45" s="2"/>
      <c r="E45" s="2"/>
      <c r="F45" s="2">
        <f t="shared" si="25"/>
        <v>27192.203950491385</v>
      </c>
      <c r="G45" s="2"/>
      <c r="H45" s="2">
        <f t="shared" si="26"/>
        <v>48907.605232500078</v>
      </c>
      <c r="I45" s="2">
        <f t="shared" si="45"/>
        <v>198163.33764743421</v>
      </c>
      <c r="J45" s="2">
        <f t="shared" si="27"/>
        <v>35945.097568798577</v>
      </c>
      <c r="K45" s="6">
        <f t="shared" si="28"/>
        <v>0.22158480791909785</v>
      </c>
      <c r="L45" s="7">
        <f t="shared" si="29"/>
        <v>1.2215848079190978</v>
      </c>
      <c r="N45">
        <f t="shared" si="30"/>
        <v>1995</v>
      </c>
      <c r="O45" s="2">
        <f t="shared" si="31"/>
        <v>5872.828672332339</v>
      </c>
      <c r="P45" s="2"/>
      <c r="Q45" s="2"/>
      <c r="R45">
        <f t="shared" si="32"/>
        <v>1995</v>
      </c>
      <c r="S45" s="2">
        <f t="shared" si="46"/>
        <v>45136.211215185176</v>
      </c>
      <c r="T45" s="2">
        <f t="shared" si="46"/>
        <v>73990.902913091399</v>
      </c>
      <c r="U45" s="2"/>
      <c r="V45" s="2"/>
      <c r="W45" s="2">
        <f t="shared" si="13"/>
        <v>25723.9967824083</v>
      </c>
      <c r="X45" s="2"/>
      <c r="Y45" s="2">
        <f t="shared" si="47"/>
        <v>47439.398064416993</v>
      </c>
      <c r="Z45" s="2">
        <f t="shared" si="48"/>
        <v>192290.50897510187</v>
      </c>
      <c r="AA45" s="2">
        <f t="shared" si="34"/>
        <v>35801.857845083112</v>
      </c>
      <c r="AB45" s="6">
        <f t="shared" si="35"/>
        <v>0.22878245538289613</v>
      </c>
      <c r="AC45" s="7">
        <f t="shared" si="36"/>
        <v>1.2287824553828961</v>
      </c>
      <c r="AD45" s="2">
        <f t="shared" si="49"/>
        <v>0</v>
      </c>
      <c r="AE45" s="2"/>
      <c r="AG45">
        <f t="shared" si="14"/>
        <v>1995</v>
      </c>
      <c r="AH45" s="6">
        <f t="shared" si="6"/>
        <v>0.23472927216095463</v>
      </c>
      <c r="AI45" s="6">
        <f t="shared" si="7"/>
        <v>0.38478707715455618</v>
      </c>
      <c r="AJ45" s="7"/>
      <c r="AK45" s="7"/>
      <c r="AL45" s="6">
        <f t="shared" si="8"/>
        <v>0.13377673666534987</v>
      </c>
      <c r="AM45" s="7"/>
      <c r="AN45" s="6">
        <f t="shared" si="15"/>
        <v>0.24670691401913933</v>
      </c>
      <c r="AO45" s="6">
        <f t="shared" si="37"/>
        <v>1</v>
      </c>
      <c r="AP45" s="7">
        <f t="shared" si="38"/>
        <v>0.75329308598086064</v>
      </c>
      <c r="AQ45" s="7">
        <f t="shared" si="39"/>
        <v>0</v>
      </c>
      <c r="AR45" s="7"/>
      <c r="AS45">
        <f t="shared" si="40"/>
        <v>1995</v>
      </c>
      <c r="AT45" s="2">
        <f t="shared" si="16"/>
        <v>45136.211215185176</v>
      </c>
      <c r="AU45" s="2">
        <f t="shared" si="17"/>
        <v>73990.902913091399</v>
      </c>
      <c r="AV45" s="2"/>
      <c r="AW45" s="2"/>
      <c r="AX45" s="2">
        <f t="shared" si="18"/>
        <v>25723.9967824083</v>
      </c>
      <c r="AY45" s="2"/>
      <c r="AZ45" s="2">
        <f t="shared" si="19"/>
        <v>47439.398064416993</v>
      </c>
      <c r="BA45" s="2">
        <f t="shared" si="20"/>
        <v>192290.50897510187</v>
      </c>
      <c r="BB45" s="2">
        <f t="shared" si="21"/>
        <v>0</v>
      </c>
      <c r="BC45" s="2"/>
      <c r="BM45" s="24"/>
      <c r="BN45">
        <f t="shared" si="5"/>
        <v>1995</v>
      </c>
      <c r="BO45" s="1" t="b">
        <f t="shared" si="41"/>
        <v>1</v>
      </c>
      <c r="BP45" s="1" t="b">
        <f t="shared" si="42"/>
        <v>0</v>
      </c>
      <c r="BS45" s="1" t="b">
        <f t="shared" si="22"/>
        <v>0</v>
      </c>
      <c r="BU45" s="1" t="b">
        <f t="shared" si="43"/>
        <v>0</v>
      </c>
      <c r="BV45" s="1" t="b">
        <f t="shared" si="44"/>
        <v>1</v>
      </c>
      <c r="CH45" s="2"/>
    </row>
    <row r="46" spans="1:86" x14ac:dyDescent="0.3">
      <c r="A46">
        <f t="shared" si="9"/>
        <v>1996</v>
      </c>
      <c r="B46" s="2">
        <f t="shared" si="23"/>
        <v>55463.376341219548</v>
      </c>
      <c r="C46" s="2">
        <f t="shared" si="24"/>
        <v>87048.077550164628</v>
      </c>
      <c r="D46" s="2"/>
      <c r="E46" s="2"/>
      <c r="F46" s="2">
        <f t="shared" si="25"/>
        <v>28352.732013602603</v>
      </c>
      <c r="G46" s="2"/>
      <c r="H46" s="2">
        <f t="shared" si="26"/>
        <v>49137.728515123126</v>
      </c>
      <c r="I46" s="2">
        <f t="shared" si="45"/>
        <v>220001.91442010991</v>
      </c>
      <c r="J46" s="2">
        <f t="shared" si="27"/>
        <v>21838.576772675704</v>
      </c>
      <c r="K46" s="6">
        <f t="shared" si="28"/>
        <v>0.11020493009423465</v>
      </c>
      <c r="L46" s="7">
        <f t="shared" si="29"/>
        <v>1.1102049300942347</v>
      </c>
      <c r="N46">
        <f t="shared" si="30"/>
        <v>1996</v>
      </c>
      <c r="O46" s="2">
        <f t="shared" si="31"/>
        <v>6072.5048471916389</v>
      </c>
      <c r="P46" s="2"/>
      <c r="Q46" s="2"/>
      <c r="R46">
        <f t="shared" si="32"/>
        <v>1996</v>
      </c>
      <c r="S46" s="2">
        <f t="shared" si="46"/>
        <v>53945.250129421634</v>
      </c>
      <c r="T46" s="2">
        <f t="shared" si="46"/>
        <v>85529.951338366722</v>
      </c>
      <c r="U46" s="2"/>
      <c r="V46" s="2"/>
      <c r="W46" s="2">
        <f t="shared" si="13"/>
        <v>26834.605801804693</v>
      </c>
      <c r="X46" s="2"/>
      <c r="Y46" s="2">
        <f t="shared" si="47"/>
        <v>47619.602303325213</v>
      </c>
      <c r="Z46" s="2">
        <f t="shared" si="48"/>
        <v>213929.40957291826</v>
      </c>
      <c r="AA46" s="2">
        <f t="shared" si="34"/>
        <v>21638.900597816391</v>
      </c>
      <c r="AB46" s="6">
        <f t="shared" si="35"/>
        <v>0.11253233824774075</v>
      </c>
      <c r="AC46" s="7">
        <f t="shared" si="36"/>
        <v>1.1125323382477408</v>
      </c>
      <c r="AD46" s="2">
        <f t="shared" si="49"/>
        <v>0</v>
      </c>
      <c r="AE46" s="2"/>
      <c r="AG46">
        <f t="shared" si="14"/>
        <v>1996</v>
      </c>
      <c r="AH46" s="6">
        <f t="shared" si="6"/>
        <v>0.25216378728439526</v>
      </c>
      <c r="AI46" s="6">
        <f t="shared" si="7"/>
        <v>0.39980455005749765</v>
      </c>
      <c r="AJ46" s="7"/>
      <c r="AK46" s="7"/>
      <c r="AL46" s="6">
        <f t="shared" si="8"/>
        <v>0.12543673100101771</v>
      </c>
      <c r="AM46" s="6"/>
      <c r="AN46" s="6">
        <f t="shared" si="15"/>
        <v>0.22259493165708932</v>
      </c>
      <c r="AO46" s="6">
        <f t="shared" si="37"/>
        <v>1</v>
      </c>
      <c r="AP46" s="7">
        <f t="shared" si="38"/>
        <v>0.77740506834291068</v>
      </c>
      <c r="AQ46" s="7">
        <f t="shared" si="39"/>
        <v>0</v>
      </c>
      <c r="AR46" s="7"/>
      <c r="AS46">
        <f t="shared" si="40"/>
        <v>1996</v>
      </c>
      <c r="AT46" s="2">
        <f t="shared" si="16"/>
        <v>53945.250129421634</v>
      </c>
      <c r="AU46" s="2">
        <f t="shared" si="17"/>
        <v>85529.951338366722</v>
      </c>
      <c r="AV46" s="2"/>
      <c r="AW46" s="2"/>
      <c r="AX46" s="2">
        <f t="shared" si="18"/>
        <v>26834.605801804693</v>
      </c>
      <c r="AY46" s="2"/>
      <c r="AZ46" s="2">
        <f t="shared" si="19"/>
        <v>47619.602303325213</v>
      </c>
      <c r="BA46" s="2">
        <f t="shared" si="20"/>
        <v>213929.40957291826</v>
      </c>
      <c r="BB46" s="2">
        <f t="shared" si="21"/>
        <v>0</v>
      </c>
      <c r="BC46" s="2"/>
      <c r="BM46" s="24"/>
      <c r="BN46">
        <f t="shared" si="5"/>
        <v>1996</v>
      </c>
      <c r="BO46" s="1" t="b">
        <f t="shared" si="41"/>
        <v>0</v>
      </c>
      <c r="BP46" s="1" t="b">
        <f t="shared" si="42"/>
        <v>0</v>
      </c>
      <c r="BS46" s="1" t="b">
        <f t="shared" si="22"/>
        <v>0</v>
      </c>
      <c r="BU46" s="28" t="b">
        <f t="shared" si="43"/>
        <v>0</v>
      </c>
      <c r="BV46" s="1" t="b">
        <f t="shared" si="44"/>
        <v>1</v>
      </c>
      <c r="CH46" s="2"/>
    </row>
    <row r="47" spans="1:86" x14ac:dyDescent="0.3">
      <c r="A47">
        <f t="shared" si="9"/>
        <v>1997</v>
      </c>
      <c r="B47" s="2">
        <f t="shared" si="23"/>
        <v>71849.678647376684</v>
      </c>
      <c r="C47" s="2">
        <f t="shared" si="24"/>
        <v>108355.32945203665</v>
      </c>
      <c r="D47" s="2"/>
      <c r="E47" s="2"/>
      <c r="F47" s="2"/>
      <c r="G47" s="2">
        <f>AX46*(1+(G13/100))</f>
        <v>26626.637606840704</v>
      </c>
      <c r="H47" s="2">
        <f t="shared" si="26"/>
        <v>52114.892760759118</v>
      </c>
      <c r="I47" s="2">
        <f t="shared" si="45"/>
        <v>258946.53846701316</v>
      </c>
      <c r="J47" s="2">
        <f t="shared" si="27"/>
        <v>38944.624046903249</v>
      </c>
      <c r="K47" s="6">
        <f t="shared" si="28"/>
        <v>0.17701947798752157</v>
      </c>
      <c r="L47" s="7">
        <f t="shared" si="29"/>
        <v>1.1770194779875216</v>
      </c>
      <c r="N47">
        <f t="shared" si="30"/>
        <v>1997</v>
      </c>
      <c r="O47" s="2">
        <f t="shared" si="31"/>
        <v>6175.7374295938962</v>
      </c>
      <c r="P47" s="2"/>
      <c r="Q47" s="2"/>
      <c r="R47">
        <f t="shared" si="32"/>
        <v>1997</v>
      </c>
      <c r="S47" s="2">
        <f t="shared" si="46"/>
        <v>70305.744289978204</v>
      </c>
      <c r="T47" s="2">
        <f t="shared" si="46"/>
        <v>106811.39509463817</v>
      </c>
      <c r="U47" s="2"/>
      <c r="V47" s="2"/>
      <c r="W47" s="2"/>
      <c r="X47" s="2">
        <f>G47-($O47/4)</f>
        <v>25082.703249442231</v>
      </c>
      <c r="Y47" s="2">
        <f t="shared" si="47"/>
        <v>50570.958403360644</v>
      </c>
      <c r="Z47" s="2">
        <f t="shared" si="48"/>
        <v>252770.80103741927</v>
      </c>
      <c r="AA47" s="2">
        <f t="shared" si="34"/>
        <v>38841.391464501008</v>
      </c>
      <c r="AB47" s="6">
        <f t="shared" si="35"/>
        <v>0.18156171955058775</v>
      </c>
      <c r="AC47" s="7">
        <f t="shared" si="36"/>
        <v>1.1815617195505879</v>
      </c>
      <c r="AD47" s="2">
        <f t="shared" si="49"/>
        <v>0</v>
      </c>
      <c r="AE47" s="2"/>
      <c r="AG47">
        <f t="shared" si="14"/>
        <v>1997</v>
      </c>
      <c r="AH47" s="6">
        <f t="shared" si="6"/>
        <v>0.27814029152667202</v>
      </c>
      <c r="AI47" s="6">
        <f t="shared" si="7"/>
        <v>0.42256223684169197</v>
      </c>
      <c r="AJ47" s="7"/>
      <c r="AK47" s="7"/>
      <c r="AL47" s="6"/>
      <c r="AM47" s="6">
        <f t="shared" si="8"/>
        <v>9.9231015396153602E-2</v>
      </c>
      <c r="AN47" s="6">
        <f t="shared" si="15"/>
        <v>0.2000664562354823</v>
      </c>
      <c r="AO47" s="6">
        <f t="shared" si="37"/>
        <v>1</v>
      </c>
      <c r="AP47" s="7">
        <f t="shared" si="38"/>
        <v>0.79993354376451764</v>
      </c>
      <c r="AQ47" s="7">
        <f t="shared" si="39"/>
        <v>0</v>
      </c>
      <c r="AR47" s="7"/>
      <c r="AS47">
        <f t="shared" si="40"/>
        <v>1997</v>
      </c>
      <c r="AT47" s="2">
        <f t="shared" si="16"/>
        <v>70305.744289978204</v>
      </c>
      <c r="AU47" s="2">
        <f t="shared" si="17"/>
        <v>106811.39509463817</v>
      </c>
      <c r="AV47" s="2"/>
      <c r="AW47" s="2"/>
      <c r="AX47" s="2"/>
      <c r="AY47" s="2">
        <f>X47</f>
        <v>25082.703249442231</v>
      </c>
      <c r="AZ47" s="2">
        <f t="shared" si="19"/>
        <v>50570.958403360644</v>
      </c>
      <c r="BA47" s="2">
        <f t="shared" si="20"/>
        <v>252770.80103741927</v>
      </c>
      <c r="BB47" s="2">
        <f t="shared" si="21"/>
        <v>0</v>
      </c>
      <c r="BC47" s="2"/>
      <c r="BM47" s="24"/>
      <c r="BN47">
        <f t="shared" si="5"/>
        <v>1997</v>
      </c>
      <c r="BO47" s="1" t="b">
        <f t="shared" si="41"/>
        <v>0</v>
      </c>
      <c r="BP47" s="1" t="b">
        <f t="shared" si="42"/>
        <v>0</v>
      </c>
      <c r="BS47" s="1"/>
      <c r="BT47" s="1" t="b">
        <f t="shared" ref="BT47:BT54" si="50">AND((X47/$Z47)&gt;0.15,(X47/$Z47)&lt;0.25)</f>
        <v>0</v>
      </c>
      <c r="BU47" s="1" t="b">
        <f t="shared" si="43"/>
        <v>0</v>
      </c>
      <c r="BV47" s="1" t="b">
        <f t="shared" si="44"/>
        <v>1</v>
      </c>
      <c r="CH47" s="2"/>
    </row>
    <row r="48" spans="1:86" x14ac:dyDescent="0.3">
      <c r="A48">
        <f t="shared" si="9"/>
        <v>1998</v>
      </c>
      <c r="B48" s="2">
        <f t="shared" si="23"/>
        <v>90455.37060348595</v>
      </c>
      <c r="C48" s="2">
        <f t="shared" si="24"/>
        <v>115733.3509268933</v>
      </c>
      <c r="D48" s="2"/>
      <c r="E48" s="2"/>
      <c r="F48" s="2"/>
      <c r="G48" s="2">
        <f t="shared" ref="G48:G62" si="51">AY47*(1+(G14/100))</f>
        <v>28996.357437452698</v>
      </c>
      <c r="H48" s="2">
        <f t="shared" si="26"/>
        <v>54909.946634368993</v>
      </c>
      <c r="I48" s="2">
        <f t="shared" si="45"/>
        <v>290095.02560220094</v>
      </c>
      <c r="J48" s="2">
        <f t="shared" si="27"/>
        <v>31148.487135187781</v>
      </c>
      <c r="K48" s="6">
        <f t="shared" si="28"/>
        <v>0.12028925862299465</v>
      </c>
      <c r="L48" s="7">
        <f t="shared" si="29"/>
        <v>1.1202892586229947</v>
      </c>
      <c r="N48">
        <f t="shared" si="30"/>
        <v>1998</v>
      </c>
      <c r="O48" s="2">
        <f t="shared" si="31"/>
        <v>6274.5492284673983</v>
      </c>
      <c r="P48" s="2"/>
      <c r="Q48" s="2"/>
      <c r="R48">
        <f t="shared" si="32"/>
        <v>1998</v>
      </c>
      <c r="S48" s="2">
        <f>B48-($O48/4)</f>
        <v>88886.733296369101</v>
      </c>
      <c r="T48" s="2">
        <f>C48-($O48/4)</f>
        <v>114164.71361977645</v>
      </c>
      <c r="U48" s="2"/>
      <c r="V48" s="2"/>
      <c r="W48" s="2"/>
      <c r="X48" s="2">
        <f>G48-($O48/4)</f>
        <v>27427.720130335849</v>
      </c>
      <c r="Y48" s="2">
        <f>H48-($O48/4)</f>
        <v>53341.309327252144</v>
      </c>
      <c r="Z48" s="2">
        <f t="shared" si="48"/>
        <v>283820.47637373355</v>
      </c>
      <c r="AA48" s="2">
        <f t="shared" si="34"/>
        <v>31049.675336314278</v>
      </c>
      <c r="AB48" s="6">
        <f t="shared" si="35"/>
        <v>0.12283727079583767</v>
      </c>
      <c r="AC48" s="7">
        <f t="shared" si="36"/>
        <v>1.1228372707958376</v>
      </c>
      <c r="AD48" s="2">
        <f t="shared" si="49"/>
        <v>0</v>
      </c>
      <c r="AE48" s="2"/>
      <c r="AG48">
        <f t="shared" si="14"/>
        <v>1998</v>
      </c>
      <c r="AH48" s="6">
        <f t="shared" si="6"/>
        <v>0.31317942395151027</v>
      </c>
      <c r="AI48" s="6">
        <f t="shared" si="7"/>
        <v>0.40224269608174734</v>
      </c>
      <c r="AJ48" s="7"/>
      <c r="AK48" s="7"/>
      <c r="AL48" s="7"/>
      <c r="AM48" s="6">
        <f t="shared" si="8"/>
        <v>9.6637566396792135E-2</v>
      </c>
      <c r="AN48" s="6">
        <f t="shared" si="15"/>
        <v>0.18794031356995028</v>
      </c>
      <c r="AO48" s="6">
        <f t="shared" si="37"/>
        <v>1</v>
      </c>
      <c r="AP48" s="7">
        <f t="shared" si="38"/>
        <v>0.81205968643004967</v>
      </c>
      <c r="AQ48" s="7">
        <f t="shared" si="39"/>
        <v>0</v>
      </c>
      <c r="AR48" s="7"/>
      <c r="AS48">
        <f t="shared" si="40"/>
        <v>1998</v>
      </c>
      <c r="AT48" s="2">
        <f t="shared" si="16"/>
        <v>88886.733296369101</v>
      </c>
      <c r="AU48" s="2">
        <f t="shared" si="17"/>
        <v>114164.71361977645</v>
      </c>
      <c r="AV48" s="2"/>
      <c r="AW48" s="2"/>
      <c r="AX48" s="2"/>
      <c r="AY48" s="2">
        <f>X48</f>
        <v>27427.720130335849</v>
      </c>
      <c r="AZ48" s="2">
        <f t="shared" si="19"/>
        <v>53341.309327252144</v>
      </c>
      <c r="BA48" s="2">
        <f t="shared" si="20"/>
        <v>283820.47637373355</v>
      </c>
      <c r="BB48" s="2">
        <f t="shared" si="21"/>
        <v>0</v>
      </c>
      <c r="BC48" s="2"/>
      <c r="BM48" s="24"/>
      <c r="BN48">
        <f t="shared" si="5"/>
        <v>1998</v>
      </c>
      <c r="BO48" s="28" t="b">
        <f t="shared" si="41"/>
        <v>0</v>
      </c>
      <c r="BP48" s="1" t="b">
        <f t="shared" si="42"/>
        <v>0</v>
      </c>
      <c r="BT48" s="1" t="b">
        <f t="shared" si="50"/>
        <v>0</v>
      </c>
      <c r="BU48" s="1" t="b">
        <f t="shared" si="43"/>
        <v>0</v>
      </c>
      <c r="BV48" s="1" t="b">
        <f t="shared" si="44"/>
        <v>1</v>
      </c>
      <c r="CH48" s="2"/>
    </row>
    <row r="49" spans="1:86" x14ac:dyDescent="0.3">
      <c r="A49">
        <f t="shared" si="9"/>
        <v>1999</v>
      </c>
      <c r="B49" s="2">
        <f t="shared" ref="B49:B65" si="52">AT48*(1+(B15/100))</f>
        <v>107615.16800191408</v>
      </c>
      <c r="C49" s="2"/>
      <c r="D49" s="2">
        <f>($AU48*0.67)*(1+(D15/100))</f>
        <v>88207.916086457291</v>
      </c>
      <c r="E49" s="2">
        <f>($AU48*0.33)*(1+(E15/100))</f>
        <v>46389.564151074985</v>
      </c>
      <c r="F49" s="2"/>
      <c r="G49" s="2">
        <f t="shared" si="51"/>
        <v>35633.819716131031</v>
      </c>
      <c r="H49" s="2">
        <f t="shared" si="26"/>
        <v>52935.915376365025</v>
      </c>
      <c r="I49" s="2">
        <f t="shared" si="45"/>
        <v>330782.38333194237</v>
      </c>
      <c r="J49" s="2">
        <f t="shared" si="27"/>
        <v>40687.35772974143</v>
      </c>
      <c r="K49" s="6">
        <f t="shared" si="28"/>
        <v>0.14025527547492264</v>
      </c>
      <c r="L49" s="7">
        <f t="shared" si="29"/>
        <v>1.1402552754749227</v>
      </c>
      <c r="N49">
        <f t="shared" si="30"/>
        <v>1999</v>
      </c>
      <c r="O49" s="2">
        <f t="shared" si="31"/>
        <v>6443.9620576360176</v>
      </c>
      <c r="P49" s="2"/>
      <c r="Q49" s="2"/>
      <c r="R49">
        <f t="shared" si="32"/>
        <v>1999</v>
      </c>
      <c r="S49" s="2">
        <f>B49-($O49/5)</f>
        <v>106326.37559038687</v>
      </c>
      <c r="T49" s="2"/>
      <c r="U49" s="2">
        <f>D49-($O49/5)</f>
        <v>86919.123674930088</v>
      </c>
      <c r="V49" s="2">
        <f>E49-($O49/5)</f>
        <v>45100.771739547781</v>
      </c>
      <c r="W49" s="2"/>
      <c r="X49" s="2">
        <f>G49-($O49/5)</f>
        <v>34345.027304603827</v>
      </c>
      <c r="Y49" s="2">
        <f>H49-($O49/5)</f>
        <v>51647.122964837821</v>
      </c>
      <c r="Z49" s="2">
        <f t="shared" si="48"/>
        <v>324338.42127430637</v>
      </c>
      <c r="AA49" s="2">
        <f t="shared" si="34"/>
        <v>40517.944900572824</v>
      </c>
      <c r="AB49" s="6">
        <f t="shared" si="35"/>
        <v>0.14275906170779226</v>
      </c>
      <c r="AC49" s="7">
        <f t="shared" si="36"/>
        <v>1.1427590617077923</v>
      </c>
      <c r="AD49" s="2">
        <f t="shared" si="49"/>
        <v>0</v>
      </c>
      <c r="AE49" s="2"/>
      <c r="AG49">
        <f t="shared" si="14"/>
        <v>1999</v>
      </c>
      <c r="AH49" s="6">
        <f t="shared" ref="AH49:AH62" si="53">S49/$Z49</f>
        <v>0.32782540894364864</v>
      </c>
      <c r="AI49" s="7"/>
      <c r="AJ49" s="6">
        <f t="shared" ref="AJ49:AJ62" si="54">U49/$Z49</f>
        <v>0.26798898303022511</v>
      </c>
      <c r="AK49" s="6">
        <f t="shared" ref="AK49:AK62" si="55">V49/$Z49</f>
        <v>0.13905466876958189</v>
      </c>
      <c r="AL49" s="7"/>
      <c r="AM49" s="6">
        <f t="shared" si="8"/>
        <v>0.10589256483910928</v>
      </c>
      <c r="AN49" s="6">
        <f t="shared" si="15"/>
        <v>0.15923837441743519</v>
      </c>
      <c r="AO49" s="6">
        <f t="shared" si="37"/>
        <v>1</v>
      </c>
      <c r="AP49" s="7">
        <f t="shared" si="38"/>
        <v>0.84076162558256484</v>
      </c>
      <c r="AQ49" s="7">
        <f t="shared" si="39"/>
        <v>0</v>
      </c>
      <c r="AR49" s="7"/>
      <c r="AS49">
        <f t="shared" si="40"/>
        <v>1999</v>
      </c>
      <c r="AT49" s="2">
        <f>S49</f>
        <v>106326.37559038687</v>
      </c>
      <c r="AU49" s="2"/>
      <c r="AV49" s="2">
        <f t="shared" ref="AV49:AW51" si="56">U49</f>
        <v>86919.123674930088</v>
      </c>
      <c r="AW49" s="2">
        <f t="shared" si="56"/>
        <v>45100.771739547781</v>
      </c>
      <c r="AX49" s="2"/>
      <c r="AY49" s="2">
        <f>X49</f>
        <v>34345.027304603827</v>
      </c>
      <c r="AZ49" s="2">
        <f t="shared" si="19"/>
        <v>51647.122964837821</v>
      </c>
      <c r="BA49" s="2">
        <f t="shared" si="20"/>
        <v>324338.42127430637</v>
      </c>
      <c r="BB49" s="2">
        <f t="shared" si="21"/>
        <v>0</v>
      </c>
      <c r="BC49" s="2"/>
      <c r="BM49" s="24"/>
      <c r="BN49">
        <f t="shared" si="5"/>
        <v>1999</v>
      </c>
      <c r="BO49" s="1" t="b">
        <f t="shared" si="41"/>
        <v>0</v>
      </c>
      <c r="BQ49" s="1" t="b">
        <f>AND((U49/$Z49)&gt;0.15,(U49/$Z49)&lt;0.25)</f>
        <v>0</v>
      </c>
      <c r="BR49" s="1" t="b">
        <f>AND((V49/$Z49)&gt;0.05,(V49/$Z49)&lt;0.15)</f>
        <v>1</v>
      </c>
      <c r="BT49" s="1" t="b">
        <f t="shared" si="50"/>
        <v>0</v>
      </c>
      <c r="BU49" s="1" t="b">
        <f t="shared" si="43"/>
        <v>0</v>
      </c>
      <c r="BV49" s="1" t="b">
        <f t="shared" si="44"/>
        <v>1</v>
      </c>
      <c r="CH49" s="2"/>
    </row>
    <row r="50" spans="1:86" x14ac:dyDescent="0.3">
      <c r="A50">
        <f t="shared" si="9"/>
        <v>2000</v>
      </c>
      <c r="B50" s="2">
        <f t="shared" si="52"/>
        <v>96693.205961897824</v>
      </c>
      <c r="C50" s="2"/>
      <c r="D50" s="2">
        <f t="shared" ref="D50:D62" si="57">AV49*(1+(D16/100))</f>
        <v>102649.74667761892</v>
      </c>
      <c r="E50" s="2">
        <f t="shared" ref="E50:E62" si="58">AW49*(1+(E16/100))</f>
        <v>43898.836172688832</v>
      </c>
      <c r="F50" s="2"/>
      <c r="G50" s="2">
        <f t="shared" si="51"/>
        <v>28982.394741262986</v>
      </c>
      <c r="H50" s="2">
        <f t="shared" si="26"/>
        <v>57529.730270532855</v>
      </c>
      <c r="I50" s="2">
        <f t="shared" si="45"/>
        <v>329753.91382400139</v>
      </c>
      <c r="J50" s="2">
        <f t="shared" si="27"/>
        <v>-1028.4695079409867</v>
      </c>
      <c r="K50" s="6">
        <f t="shared" si="28"/>
        <v>-3.1092027863796803E-3</v>
      </c>
      <c r="L50" s="7">
        <f t="shared" si="29"/>
        <v>0.99689079721362028</v>
      </c>
      <c r="N50">
        <f t="shared" si="30"/>
        <v>2000</v>
      </c>
      <c r="O50" s="2">
        <f t="shared" si="31"/>
        <v>6663.0567675956427</v>
      </c>
      <c r="P50" s="2"/>
      <c r="Q50" s="2"/>
      <c r="R50">
        <f t="shared" si="32"/>
        <v>2000</v>
      </c>
      <c r="S50" s="2">
        <f t="shared" ref="S50:S62" si="59">B50-($O50/5)</f>
        <v>95360.594608378698</v>
      </c>
      <c r="T50" s="2"/>
      <c r="U50" s="2">
        <f t="shared" ref="U50:V62" si="60">D50-($O50/5)</f>
        <v>101317.1353240998</v>
      </c>
      <c r="V50" s="2">
        <f t="shared" si="60"/>
        <v>42566.224819169707</v>
      </c>
      <c r="W50" s="2"/>
      <c r="X50" s="2">
        <f t="shared" ref="X50:Y62" si="61">G50-($O50/5)</f>
        <v>27649.783387743857</v>
      </c>
      <c r="Y50" s="2">
        <f t="shared" si="61"/>
        <v>56197.11891701373</v>
      </c>
      <c r="Z50" s="2">
        <f t="shared" si="48"/>
        <v>323090.8570564058</v>
      </c>
      <c r="AA50" s="2">
        <f t="shared" si="34"/>
        <v>-1247.5642179005663</v>
      </c>
      <c r="AB50" s="6">
        <f t="shared" si="35"/>
        <v>-3.8464891485842493E-3</v>
      </c>
      <c r="AC50" s="7">
        <f t="shared" si="36"/>
        <v>0.99615351085141579</v>
      </c>
      <c r="AD50" s="2">
        <f t="shared" si="49"/>
        <v>0</v>
      </c>
      <c r="AE50" s="2"/>
      <c r="AG50">
        <f t="shared" si="14"/>
        <v>2000</v>
      </c>
      <c r="AH50" s="6">
        <f t="shared" si="53"/>
        <v>0.29515101565294516</v>
      </c>
      <c r="AI50" s="7"/>
      <c r="AJ50" s="6">
        <f t="shared" si="54"/>
        <v>0.31358713226110163</v>
      </c>
      <c r="AK50" s="6">
        <f t="shared" si="55"/>
        <v>0.13174691852000756</v>
      </c>
      <c r="AL50" s="7"/>
      <c r="AM50" s="6">
        <f t="shared" si="8"/>
        <v>8.5578971932705319E-2</v>
      </c>
      <c r="AN50" s="6">
        <f t="shared" si="15"/>
        <v>0.17393596163324032</v>
      </c>
      <c r="AO50" s="6">
        <f t="shared" si="37"/>
        <v>1</v>
      </c>
      <c r="AP50" s="7">
        <f t="shared" si="38"/>
        <v>0.82606403836675968</v>
      </c>
      <c r="AQ50" s="7">
        <f t="shared" si="39"/>
        <v>0</v>
      </c>
      <c r="AR50" s="7"/>
      <c r="AS50">
        <f t="shared" si="40"/>
        <v>2000</v>
      </c>
      <c r="AT50" s="2">
        <f>S50</f>
        <v>95360.594608378698</v>
      </c>
      <c r="AU50" s="2"/>
      <c r="AV50" s="2">
        <f t="shared" si="56"/>
        <v>101317.1353240998</v>
      </c>
      <c r="AW50" s="2">
        <f t="shared" si="56"/>
        <v>42566.224819169707</v>
      </c>
      <c r="AX50" s="2"/>
      <c r="AY50" s="2">
        <f>X50</f>
        <v>27649.783387743857</v>
      </c>
      <c r="AZ50" s="2">
        <f t="shared" si="19"/>
        <v>56197.11891701373</v>
      </c>
      <c r="BA50" s="2">
        <f t="shared" si="20"/>
        <v>323090.8570564058</v>
      </c>
      <c r="BB50" s="2">
        <f t="shared" si="21"/>
        <v>0</v>
      </c>
      <c r="BC50" s="2"/>
      <c r="BM50" s="24"/>
      <c r="BN50">
        <f t="shared" si="5"/>
        <v>2000</v>
      </c>
      <c r="BO50" s="1" t="b">
        <f t="shared" si="41"/>
        <v>0</v>
      </c>
      <c r="BQ50" s="1" t="b">
        <f t="shared" ref="BQ50:BQ64" si="62">AND((U50/$Z50)&gt;0.15,(U50/$Z50)&lt;0.25)</f>
        <v>0</v>
      </c>
      <c r="BR50" s="1" t="b">
        <f t="shared" ref="BR50:BR64" si="63">AND((V50/$Z50)&gt;0.05,(V50/$Z50)&lt;0.15)</f>
        <v>1</v>
      </c>
      <c r="BT50" s="1" t="b">
        <f t="shared" si="50"/>
        <v>0</v>
      </c>
      <c r="BU50" s="1" t="b">
        <f t="shared" si="43"/>
        <v>0</v>
      </c>
      <c r="BV50" s="1" t="b">
        <f t="shared" si="44"/>
        <v>1</v>
      </c>
      <c r="CH50" s="2"/>
    </row>
    <row r="51" spans="1:86" x14ac:dyDescent="0.3">
      <c r="A51">
        <f t="shared" si="9"/>
        <v>2001</v>
      </c>
      <c r="B51" s="2">
        <f t="shared" si="52"/>
        <v>83898.251136451581</v>
      </c>
      <c r="C51" s="2"/>
      <c r="D51" s="2">
        <f t="shared" si="57"/>
        <v>100811.56281883254</v>
      </c>
      <c r="E51" s="2">
        <f t="shared" si="58"/>
        <v>43885.777788563966</v>
      </c>
      <c r="F51" s="2"/>
      <c r="G51" s="2">
        <f t="shared" si="51"/>
        <v>22077.522541611837</v>
      </c>
      <c r="H51" s="2">
        <f t="shared" si="26"/>
        <v>60934.536041717991</v>
      </c>
      <c r="I51" s="2">
        <f t="shared" si="45"/>
        <v>311607.65032717795</v>
      </c>
      <c r="J51" s="2">
        <f t="shared" si="27"/>
        <v>-18146.263496823434</v>
      </c>
      <c r="K51" s="6">
        <f t="shared" si="28"/>
        <v>-5.5029713783802392E-2</v>
      </c>
      <c r="L51" s="7">
        <f t="shared" si="29"/>
        <v>0.94497028621619761</v>
      </c>
      <c r="N51">
        <f t="shared" si="30"/>
        <v>2001</v>
      </c>
      <c r="O51" s="2">
        <f t="shared" si="31"/>
        <v>6769.6656758771733</v>
      </c>
      <c r="P51" s="2"/>
      <c r="Q51" s="2"/>
      <c r="R51">
        <f t="shared" si="32"/>
        <v>2001</v>
      </c>
      <c r="S51" s="2">
        <f t="shared" si="59"/>
        <v>82544.318001276144</v>
      </c>
      <c r="T51" s="2"/>
      <c r="U51" s="2">
        <f t="shared" si="60"/>
        <v>99457.629683657098</v>
      </c>
      <c r="V51" s="2">
        <f t="shared" si="60"/>
        <v>42531.844653388529</v>
      </c>
      <c r="W51" s="2"/>
      <c r="X51" s="2">
        <f t="shared" si="61"/>
        <v>20723.589406436404</v>
      </c>
      <c r="Y51" s="2">
        <f t="shared" si="61"/>
        <v>59580.602906542554</v>
      </c>
      <c r="Z51" s="2">
        <f t="shared" si="48"/>
        <v>304837.98465130077</v>
      </c>
      <c r="AA51" s="2">
        <f t="shared" si="34"/>
        <v>-18252.872405105038</v>
      </c>
      <c r="AB51" s="6">
        <f t="shared" si="35"/>
        <v>-5.6494549463275021E-2</v>
      </c>
      <c r="AC51" s="7">
        <f t="shared" si="36"/>
        <v>0.94350545053672497</v>
      </c>
      <c r="AD51" s="2">
        <f t="shared" si="49"/>
        <v>0</v>
      </c>
      <c r="AE51" s="2"/>
      <c r="AG51">
        <f t="shared" si="14"/>
        <v>2001</v>
      </c>
      <c r="AH51" s="6">
        <f t="shared" si="53"/>
        <v>0.27078094646143674</v>
      </c>
      <c r="AI51" s="7"/>
      <c r="AJ51" s="6">
        <f t="shared" si="54"/>
        <v>0.32626389981361764</v>
      </c>
      <c r="AK51" s="6">
        <f t="shared" si="55"/>
        <v>0.13952278520027619</v>
      </c>
      <c r="AL51" s="7"/>
      <c r="AM51" s="6">
        <f t="shared" si="8"/>
        <v>6.7982306831419911E-2</v>
      </c>
      <c r="AN51" s="6">
        <f t="shared" si="15"/>
        <v>0.19545006169324941</v>
      </c>
      <c r="AO51" s="6">
        <f t="shared" si="37"/>
        <v>0.99999999999999989</v>
      </c>
      <c r="AP51" s="7">
        <f t="shared" si="38"/>
        <v>0.80454993830675048</v>
      </c>
      <c r="AQ51" s="7">
        <f t="shared" si="39"/>
        <v>0</v>
      </c>
      <c r="AR51" s="7"/>
      <c r="AS51">
        <f t="shared" si="40"/>
        <v>2001</v>
      </c>
      <c r="AT51" s="2">
        <f>S51</f>
        <v>82544.318001276144</v>
      </c>
      <c r="AU51" s="2"/>
      <c r="AV51" s="2">
        <f t="shared" si="56"/>
        <v>99457.629683657098</v>
      </c>
      <c r="AW51" s="2">
        <f t="shared" si="56"/>
        <v>42531.844653388529</v>
      </c>
      <c r="AX51" s="2"/>
      <c r="AY51" s="2">
        <f>X51</f>
        <v>20723.589406436404</v>
      </c>
      <c r="AZ51" s="2">
        <f t="shared" si="19"/>
        <v>59580.602906542554</v>
      </c>
      <c r="BA51" s="2">
        <f t="shared" si="20"/>
        <v>304837.98465130077</v>
      </c>
      <c r="BB51" s="2">
        <f t="shared" si="21"/>
        <v>0</v>
      </c>
      <c r="BC51" s="2"/>
      <c r="BM51" s="24"/>
      <c r="BN51">
        <f t="shared" si="5"/>
        <v>2001</v>
      </c>
      <c r="BO51" s="1" t="b">
        <f t="shared" si="41"/>
        <v>0</v>
      </c>
      <c r="BQ51" s="1" t="b">
        <f t="shared" si="62"/>
        <v>0</v>
      </c>
      <c r="BR51" s="1" t="b">
        <f t="shared" si="63"/>
        <v>1</v>
      </c>
      <c r="BT51" s="1" t="b">
        <f t="shared" si="50"/>
        <v>0</v>
      </c>
      <c r="BU51" s="1" t="b">
        <f t="shared" si="43"/>
        <v>0</v>
      </c>
      <c r="BV51" s="1" t="b">
        <f t="shared" si="44"/>
        <v>1</v>
      </c>
      <c r="CH51" s="2"/>
    </row>
    <row r="52" spans="1:86" x14ac:dyDescent="0.3">
      <c r="A52">
        <f t="shared" si="9"/>
        <v>2002</v>
      </c>
      <c r="B52" s="2">
        <f t="shared" si="52"/>
        <v>64260.751563993479</v>
      </c>
      <c r="C52" s="2"/>
      <c r="D52" s="2">
        <f t="shared" si="57"/>
        <v>84928.859139468477</v>
      </c>
      <c r="E52" s="2">
        <f t="shared" si="58"/>
        <v>34016.118716887082</v>
      </c>
      <c r="F52" s="2"/>
      <c r="G52" s="2">
        <f t="shared" si="51"/>
        <v>17597.850416263602</v>
      </c>
      <c r="H52" s="2">
        <f t="shared" si="26"/>
        <v>64501.960706622966</v>
      </c>
      <c r="I52" s="2">
        <f t="shared" si="45"/>
        <v>265305.54054323561</v>
      </c>
      <c r="J52" s="2">
        <f t="shared" si="27"/>
        <v>-46302.109783942346</v>
      </c>
      <c r="K52" s="6">
        <f t="shared" si="28"/>
        <v>-0.14859105588494578</v>
      </c>
      <c r="L52" s="7">
        <f t="shared" si="29"/>
        <v>0.85140894411505419</v>
      </c>
      <c r="N52">
        <f t="shared" si="30"/>
        <v>2002</v>
      </c>
      <c r="O52" s="2">
        <f t="shared" si="31"/>
        <v>6938.907317774102</v>
      </c>
      <c r="P52" s="2"/>
      <c r="Q52" s="2"/>
      <c r="R52">
        <f t="shared" si="32"/>
        <v>2002</v>
      </c>
      <c r="S52" s="2">
        <f t="shared" si="59"/>
        <v>62872.970100438659</v>
      </c>
      <c r="T52" s="2"/>
      <c r="U52" s="2">
        <f t="shared" si="60"/>
        <v>83541.07767591365</v>
      </c>
      <c r="V52" s="2">
        <f t="shared" si="60"/>
        <v>32628.337253332262</v>
      </c>
      <c r="W52" s="2"/>
      <c r="X52" s="2">
        <f t="shared" si="61"/>
        <v>16210.068952708782</v>
      </c>
      <c r="Y52" s="2">
        <f t="shared" si="61"/>
        <v>63114.179243068145</v>
      </c>
      <c r="Z52" s="2">
        <f t="shared" si="48"/>
        <v>258366.63322546153</v>
      </c>
      <c r="AA52" s="2">
        <f t="shared" si="34"/>
        <v>-46471.351425839239</v>
      </c>
      <c r="AB52" s="6">
        <f t="shared" si="35"/>
        <v>-0.15244606566664279</v>
      </c>
      <c r="AC52" s="7">
        <f t="shared" si="36"/>
        <v>0.84755393433335724</v>
      </c>
      <c r="AD52" s="2">
        <f t="shared" si="49"/>
        <v>0</v>
      </c>
      <c r="AE52" s="2"/>
      <c r="AG52">
        <f t="shared" si="14"/>
        <v>2002</v>
      </c>
      <c r="AH52" s="6">
        <f t="shared" si="53"/>
        <v>0.24334787087453771</v>
      </c>
      <c r="AI52" s="7"/>
      <c r="AJ52" s="6">
        <f t="shared" si="54"/>
        <v>0.32334313697160816</v>
      </c>
      <c r="AK52" s="6">
        <f t="shared" si="55"/>
        <v>0.12628696223656485</v>
      </c>
      <c r="AL52" s="7"/>
      <c r="AM52" s="6">
        <f t="shared" si="8"/>
        <v>6.2740566575263598E-2</v>
      </c>
      <c r="AN52" s="6">
        <f t="shared" si="15"/>
        <v>0.24428146334202558</v>
      </c>
      <c r="AO52" s="6">
        <f t="shared" si="37"/>
        <v>1</v>
      </c>
      <c r="AP52" s="7">
        <f t="shared" si="38"/>
        <v>0.75571853665797439</v>
      </c>
      <c r="AQ52" s="7">
        <f t="shared" si="39"/>
        <v>0</v>
      </c>
      <c r="AR52" s="7"/>
      <c r="AS52">
        <f t="shared" si="40"/>
        <v>2002</v>
      </c>
      <c r="AT52" s="40">
        <v>0</v>
      </c>
      <c r="AU52" s="40"/>
      <c r="AV52" s="40">
        <v>0</v>
      </c>
      <c r="AW52" s="40">
        <v>0</v>
      </c>
      <c r="AX52" s="40"/>
      <c r="AY52" s="40">
        <v>0</v>
      </c>
      <c r="AZ52" s="40">
        <f>Z52</f>
        <v>258366.63322546153</v>
      </c>
      <c r="BA52" s="2">
        <f t="shared" ref="BA52:BA60" si="64">Z52</f>
        <v>258366.63322546153</v>
      </c>
      <c r="BB52" s="2">
        <f t="shared" si="21"/>
        <v>0</v>
      </c>
      <c r="BC52" s="2"/>
      <c r="BM52" s="24"/>
      <c r="BN52">
        <f t="shared" si="5"/>
        <v>2002</v>
      </c>
      <c r="BO52" s="28" t="b">
        <f t="shared" si="41"/>
        <v>1</v>
      </c>
      <c r="BQ52" s="1" t="b">
        <f t="shared" si="62"/>
        <v>0</v>
      </c>
      <c r="BR52" s="1" t="b">
        <f t="shared" si="63"/>
        <v>1</v>
      </c>
      <c r="BT52" s="28" t="b">
        <f t="shared" si="50"/>
        <v>0</v>
      </c>
      <c r="BU52" s="28" t="b">
        <f t="shared" si="43"/>
        <v>0</v>
      </c>
      <c r="BV52" s="1" t="b">
        <f t="shared" si="44"/>
        <v>1</v>
      </c>
      <c r="CH52" s="2"/>
    </row>
    <row r="53" spans="1:86" x14ac:dyDescent="0.3">
      <c r="A53">
        <f t="shared" si="9"/>
        <v>2003</v>
      </c>
      <c r="B53" s="2">
        <f t="shared" si="52"/>
        <v>0</v>
      </c>
      <c r="C53" s="2"/>
      <c r="D53" s="2">
        <f t="shared" si="57"/>
        <v>0</v>
      </c>
      <c r="E53" s="2">
        <f t="shared" si="58"/>
        <v>0</v>
      </c>
      <c r="F53" s="2"/>
      <c r="G53" s="2">
        <f t="shared" si="51"/>
        <v>0</v>
      </c>
      <c r="H53" s="2">
        <f t="shared" si="26"/>
        <v>268623.78856451239</v>
      </c>
      <c r="I53" s="2">
        <f t="shared" si="45"/>
        <v>268623.78856451239</v>
      </c>
      <c r="J53" s="2">
        <f t="shared" si="27"/>
        <v>3318.2480212767841</v>
      </c>
      <c r="K53" s="6">
        <f t="shared" si="28"/>
        <v>1.2507269974394013E-2</v>
      </c>
      <c r="L53" s="7">
        <f t="shared" si="29"/>
        <v>1.012507269974394</v>
      </c>
      <c r="N53">
        <f t="shared" si="30"/>
        <v>2003</v>
      </c>
      <c r="O53" s="2">
        <f t="shared" si="31"/>
        <v>7077.685464129584</v>
      </c>
      <c r="P53" s="2"/>
      <c r="Q53" s="2"/>
      <c r="R53">
        <f t="shared" si="32"/>
        <v>2003</v>
      </c>
      <c r="S53" s="40">
        <v>0</v>
      </c>
      <c r="T53" s="40"/>
      <c r="U53" s="40">
        <v>0</v>
      </c>
      <c r="V53" s="40">
        <v>0</v>
      </c>
      <c r="W53" s="40"/>
      <c r="X53" s="40">
        <v>0</v>
      </c>
      <c r="Y53" s="40">
        <f>H53-($O53)</f>
        <v>261546.10310038281</v>
      </c>
      <c r="Z53" s="2">
        <f t="shared" si="48"/>
        <v>261546.10310038281</v>
      </c>
      <c r="AA53" s="2">
        <f t="shared" si="34"/>
        <v>3179.4698749212839</v>
      </c>
      <c r="AB53" s="6">
        <f t="shared" si="35"/>
        <v>1.2306039039285486E-2</v>
      </c>
      <c r="AC53" s="7">
        <f t="shared" si="36"/>
        <v>1.0123060390392855</v>
      </c>
      <c r="AD53" s="2">
        <f t="shared" si="49"/>
        <v>0</v>
      </c>
      <c r="AE53" s="2"/>
      <c r="AG53">
        <f t="shared" si="14"/>
        <v>2003</v>
      </c>
      <c r="AH53" s="38">
        <f t="shared" si="53"/>
        <v>0</v>
      </c>
      <c r="AI53" s="64"/>
      <c r="AJ53" s="38">
        <f t="shared" si="54"/>
        <v>0</v>
      </c>
      <c r="AK53" s="38">
        <f t="shared" si="55"/>
        <v>0</v>
      </c>
      <c r="AL53" s="64"/>
      <c r="AM53" s="38">
        <f t="shared" ref="AM53:AM62" si="65">X53/$Z53</f>
        <v>0</v>
      </c>
      <c r="AN53" s="38">
        <f t="shared" si="15"/>
        <v>1</v>
      </c>
      <c r="AO53" s="6">
        <f t="shared" si="37"/>
        <v>1</v>
      </c>
      <c r="AP53" s="7">
        <f t="shared" si="38"/>
        <v>0</v>
      </c>
      <c r="AQ53" s="7">
        <f t="shared" si="39"/>
        <v>0</v>
      </c>
      <c r="AR53" s="7"/>
      <c r="AS53">
        <f t="shared" si="40"/>
        <v>2003</v>
      </c>
      <c r="AT53" s="40">
        <f>$Z53*AT$37</f>
        <v>52309.220620076565</v>
      </c>
      <c r="AU53" s="40"/>
      <c r="AV53" s="40">
        <f>$Z53*AV$37</f>
        <v>52309.220620076565</v>
      </c>
      <c r="AW53" s="40">
        <f>$Z53*AW$37</f>
        <v>26154.610310038282</v>
      </c>
      <c r="AX53" s="40"/>
      <c r="AY53" s="40">
        <f>$Z53*AY$37</f>
        <v>52309.220620076565</v>
      </c>
      <c r="AZ53" s="40">
        <f>$Z53*AZ$37</f>
        <v>78463.83093011484</v>
      </c>
      <c r="BA53" s="2">
        <f t="shared" si="64"/>
        <v>261546.10310038281</v>
      </c>
      <c r="BB53" s="2">
        <f t="shared" si="21"/>
        <v>0</v>
      </c>
      <c r="BC53" s="2"/>
      <c r="BM53" s="24"/>
      <c r="BN53">
        <f t="shared" si="5"/>
        <v>2003</v>
      </c>
      <c r="BO53" s="1" t="b">
        <f t="shared" si="41"/>
        <v>0</v>
      </c>
      <c r="BQ53" s="1" t="b">
        <f t="shared" si="62"/>
        <v>0</v>
      </c>
      <c r="BR53" s="1" t="b">
        <f t="shared" si="63"/>
        <v>0</v>
      </c>
      <c r="BT53" s="1" t="b">
        <f t="shared" si="50"/>
        <v>0</v>
      </c>
      <c r="BU53" s="28" t="b">
        <f t="shared" si="43"/>
        <v>0</v>
      </c>
      <c r="BV53" s="1" t="b">
        <f t="shared" si="44"/>
        <v>1</v>
      </c>
      <c r="CH53" s="2"/>
    </row>
    <row r="54" spans="1:86" x14ac:dyDescent="0.3">
      <c r="A54">
        <f t="shared" si="9"/>
        <v>2004</v>
      </c>
      <c r="B54" s="2">
        <f t="shared" si="52"/>
        <v>57927.230914672786</v>
      </c>
      <c r="C54" s="2"/>
      <c r="D54" s="2">
        <f t="shared" si="57"/>
        <v>62955.716292880745</v>
      </c>
      <c r="E54" s="2">
        <f t="shared" si="58"/>
        <v>31358.593123426603</v>
      </c>
      <c r="F54" s="2"/>
      <c r="G54" s="2">
        <f t="shared" si="51"/>
        <v>63208.892920681916</v>
      </c>
      <c r="H54" s="2">
        <f t="shared" si="26"/>
        <v>81790.697361551705</v>
      </c>
      <c r="I54" s="2">
        <f t="shared" si="45"/>
        <v>297241.13061321375</v>
      </c>
      <c r="J54" s="2">
        <f>I54-I53</f>
        <v>28617.342048701365</v>
      </c>
      <c r="K54" s="6">
        <f>(J54/I53)</f>
        <v>0.1065331637292006</v>
      </c>
      <c r="L54" s="7">
        <f t="shared" si="29"/>
        <v>1.1065331637292006</v>
      </c>
      <c r="N54">
        <f t="shared" si="30"/>
        <v>2004</v>
      </c>
      <c r="O54" s="2">
        <f t="shared" si="31"/>
        <v>7311.2490844458598</v>
      </c>
      <c r="P54" s="2"/>
      <c r="Q54" s="2"/>
      <c r="R54">
        <f t="shared" si="32"/>
        <v>2004</v>
      </c>
      <c r="S54" s="2">
        <f t="shared" si="59"/>
        <v>56464.981097783617</v>
      </c>
      <c r="T54" s="2"/>
      <c r="U54" s="2">
        <f t="shared" si="60"/>
        <v>61493.466475991576</v>
      </c>
      <c r="V54" s="2">
        <f t="shared" si="60"/>
        <v>29896.34330653743</v>
      </c>
      <c r="W54" s="2"/>
      <c r="X54" s="2">
        <f t="shared" si="61"/>
        <v>61746.643103792747</v>
      </c>
      <c r="Y54" s="2">
        <f t="shared" si="61"/>
        <v>80328.447544662529</v>
      </c>
      <c r="Z54" s="2">
        <f t="shared" si="48"/>
        <v>289929.88152876787</v>
      </c>
      <c r="AA54" s="2">
        <f>Z54-Z53</f>
        <v>28383.778428385063</v>
      </c>
      <c r="AB54" s="6">
        <f>(AA54/Z53)</f>
        <v>0.10852304084030347</v>
      </c>
      <c r="AC54" s="7">
        <f t="shared" si="36"/>
        <v>1.1085230408403035</v>
      </c>
      <c r="AD54" s="2">
        <f t="shared" si="49"/>
        <v>0</v>
      </c>
      <c r="AE54" s="2"/>
      <c r="AG54">
        <f t="shared" si="14"/>
        <v>2004</v>
      </c>
      <c r="AH54" s="6">
        <f t="shared" si="53"/>
        <v>0.19475392049984666</v>
      </c>
      <c r="AI54" s="7"/>
      <c r="AJ54" s="6">
        <f t="shared" si="54"/>
        <v>0.2120977187716678</v>
      </c>
      <c r="AK54" s="6">
        <f t="shared" si="55"/>
        <v>0.10311577112678884</v>
      </c>
      <c r="AL54" s="7"/>
      <c r="AM54" s="6">
        <f t="shared" si="65"/>
        <v>0.21297095276350819</v>
      </c>
      <c r="AN54" s="6">
        <f t="shared" si="15"/>
        <v>0.27706163683818857</v>
      </c>
      <c r="AO54" s="6">
        <f t="shared" si="37"/>
        <v>1</v>
      </c>
      <c r="AP54" s="7">
        <f t="shared" si="38"/>
        <v>0.72293836316181148</v>
      </c>
      <c r="AQ54" s="7">
        <f t="shared" si="39"/>
        <v>0</v>
      </c>
      <c r="AR54" s="7"/>
      <c r="AS54">
        <f t="shared" si="40"/>
        <v>2004</v>
      </c>
      <c r="AT54" s="2">
        <f>S54</f>
        <v>56464.981097783617</v>
      </c>
      <c r="AU54" s="2"/>
      <c r="AV54" s="2">
        <f t="shared" ref="AV54:AW57" si="66">U54</f>
        <v>61493.466475991576</v>
      </c>
      <c r="AW54" s="2">
        <f t="shared" si="66"/>
        <v>29896.34330653743</v>
      </c>
      <c r="AX54" s="2"/>
      <c r="AY54" s="2">
        <f t="shared" ref="AY54:AZ57" si="67">X54</f>
        <v>61746.643103792747</v>
      </c>
      <c r="AZ54" s="2">
        <f t="shared" si="67"/>
        <v>80328.447544662529</v>
      </c>
      <c r="BA54" s="2">
        <f t="shared" si="64"/>
        <v>289929.88152876787</v>
      </c>
      <c r="BB54" s="2">
        <f t="shared" si="21"/>
        <v>0</v>
      </c>
      <c r="BC54" s="2"/>
      <c r="BM54" s="24"/>
      <c r="BN54">
        <f t="shared" si="5"/>
        <v>2004</v>
      </c>
      <c r="BO54" s="1" t="b">
        <f t="shared" si="41"/>
        <v>1</v>
      </c>
      <c r="BQ54" s="1" t="b">
        <f t="shared" si="62"/>
        <v>1</v>
      </c>
      <c r="BR54" s="1" t="b">
        <f t="shared" si="63"/>
        <v>1</v>
      </c>
      <c r="BT54" s="1" t="b">
        <f t="shared" si="50"/>
        <v>1</v>
      </c>
      <c r="BU54" s="1" t="b">
        <f t="shared" si="43"/>
        <v>1</v>
      </c>
      <c r="BV54" s="1" t="b">
        <f t="shared" si="44"/>
        <v>1</v>
      </c>
      <c r="CH54" s="2"/>
    </row>
    <row r="55" spans="1:86" x14ac:dyDescent="0.3">
      <c r="A55">
        <f t="shared" si="9"/>
        <v>2005</v>
      </c>
      <c r="B55" s="2">
        <f t="shared" si="52"/>
        <v>59158.360696147902</v>
      </c>
      <c r="C55" s="2"/>
      <c r="D55" s="2">
        <f t="shared" si="57"/>
        <v>70060.121290761963</v>
      </c>
      <c r="E55" s="2">
        <f t="shared" si="58"/>
        <v>32097.611064197783</v>
      </c>
      <c r="F55" s="2"/>
      <c r="G55" s="2">
        <f t="shared" si="51"/>
        <v>71361.212901484323</v>
      </c>
      <c r="H55" s="2">
        <f t="shared" si="26"/>
        <v>82256.330285734439</v>
      </c>
      <c r="I55" s="2">
        <f t="shared" si="45"/>
        <v>314933.63623832643</v>
      </c>
      <c r="J55" s="2">
        <f t="shared" si="27"/>
        <v>17692.505625112681</v>
      </c>
      <c r="K55" s="6">
        <f t="shared" si="28"/>
        <v>5.9522400512381064E-2</v>
      </c>
      <c r="L55" s="7">
        <f t="shared" si="29"/>
        <v>1.0595224005123811</v>
      </c>
      <c r="N55">
        <f t="shared" si="30"/>
        <v>2005</v>
      </c>
      <c r="O55" s="2">
        <f t="shared" si="31"/>
        <v>7552.5203042325729</v>
      </c>
      <c r="P55" s="2"/>
      <c r="Q55" s="2"/>
      <c r="R55">
        <f t="shared" si="32"/>
        <v>2005</v>
      </c>
      <c r="S55" s="2">
        <f t="shared" si="59"/>
        <v>57647.856635301388</v>
      </c>
      <c r="T55" s="2"/>
      <c r="U55" s="2">
        <f t="shared" si="60"/>
        <v>68549.617229915442</v>
      </c>
      <c r="V55" s="2">
        <f t="shared" si="60"/>
        <v>30587.10700335127</v>
      </c>
      <c r="W55" s="2"/>
      <c r="X55" s="2">
        <f t="shared" si="61"/>
        <v>69850.708840637802</v>
      </c>
      <c r="Y55" s="2">
        <f t="shared" si="61"/>
        <v>80745.826224887918</v>
      </c>
      <c r="Z55" s="2">
        <f t="shared" si="48"/>
        <v>307381.11593409383</v>
      </c>
      <c r="AA55" s="2">
        <f t="shared" ref="AA55:AA62" si="68">Z55-Z54</f>
        <v>17451.234405325959</v>
      </c>
      <c r="AB55" s="6">
        <f t="shared" ref="AB55:AB62" si="69">(AA55/Z54)</f>
        <v>6.0191223868707663E-2</v>
      </c>
      <c r="AC55" s="7">
        <f t="shared" si="36"/>
        <v>1.0601912238687077</v>
      </c>
      <c r="AD55" s="2">
        <f t="shared" si="49"/>
        <v>0</v>
      </c>
      <c r="AE55" s="2"/>
      <c r="AG55">
        <f t="shared" si="14"/>
        <v>2005</v>
      </c>
      <c r="AH55" s="6">
        <f t="shared" si="53"/>
        <v>0.18754521226886878</v>
      </c>
      <c r="AI55" s="7"/>
      <c r="AJ55" s="6">
        <f t="shared" si="54"/>
        <v>0.22301180416240435</v>
      </c>
      <c r="AK55" s="6">
        <f t="shared" si="55"/>
        <v>9.9508738233319155E-2</v>
      </c>
      <c r="AL55" s="7"/>
      <c r="AM55" s="6">
        <f t="shared" si="65"/>
        <v>0.22724463286682395</v>
      </c>
      <c r="AN55" s="6">
        <f t="shared" si="15"/>
        <v>0.26268961246858374</v>
      </c>
      <c r="AO55" s="6">
        <f t="shared" si="37"/>
        <v>1</v>
      </c>
      <c r="AP55" s="7">
        <f t="shared" si="38"/>
        <v>0.7373103875314162</v>
      </c>
      <c r="AQ55" s="7">
        <f t="shared" si="39"/>
        <v>0</v>
      </c>
      <c r="AR55" s="7"/>
      <c r="AS55">
        <f t="shared" si="40"/>
        <v>2005</v>
      </c>
      <c r="AT55" s="2">
        <f>S55</f>
        <v>57647.856635301388</v>
      </c>
      <c r="AU55" s="2"/>
      <c r="AV55" s="2">
        <f t="shared" si="66"/>
        <v>68549.617229915442</v>
      </c>
      <c r="AW55" s="2">
        <f t="shared" si="66"/>
        <v>30587.10700335127</v>
      </c>
      <c r="AX55" s="2"/>
      <c r="AY55" s="2">
        <f t="shared" si="67"/>
        <v>69850.708840637802</v>
      </c>
      <c r="AZ55" s="2">
        <f t="shared" si="67"/>
        <v>80745.826224887918</v>
      </c>
      <c r="BA55" s="2">
        <f t="shared" si="64"/>
        <v>307381.11593409383</v>
      </c>
      <c r="BB55" s="2">
        <f t="shared" si="21"/>
        <v>0</v>
      </c>
      <c r="BC55" s="2"/>
      <c r="BM55" s="24"/>
      <c r="BN55">
        <f t="shared" si="5"/>
        <v>2005</v>
      </c>
      <c r="BO55" s="1" t="b">
        <f t="shared" si="41"/>
        <v>1</v>
      </c>
      <c r="BQ55" s="1" t="b">
        <f t="shared" si="62"/>
        <v>1</v>
      </c>
      <c r="BR55" s="1" t="b">
        <f t="shared" si="63"/>
        <v>1</v>
      </c>
      <c r="BT55" s="1" t="b">
        <f t="shared" ref="BT55:BT64" si="70">AND((X55/$Z55)&gt;0.15,(X55/$Z55)&lt;0.25)</f>
        <v>1</v>
      </c>
      <c r="BU55" s="1" t="b">
        <f t="shared" si="43"/>
        <v>1</v>
      </c>
      <c r="BV55" s="1" t="b">
        <f t="shared" si="44"/>
        <v>1</v>
      </c>
      <c r="CH55" s="2"/>
    </row>
    <row r="56" spans="1:86" x14ac:dyDescent="0.3">
      <c r="A56">
        <f t="shared" si="9"/>
        <v>2006</v>
      </c>
      <c r="B56" s="2">
        <f t="shared" si="52"/>
        <v>66663.981413062531</v>
      </c>
      <c r="C56" s="2"/>
      <c r="D56" s="2">
        <f t="shared" si="57"/>
        <v>77870.308684667034</v>
      </c>
      <c r="E56" s="2">
        <f t="shared" si="58"/>
        <v>35375.824475795947</v>
      </c>
      <c r="F56" s="2"/>
      <c r="G56" s="2">
        <f t="shared" si="51"/>
        <v>88456.842154518497</v>
      </c>
      <c r="H56" s="2">
        <f t="shared" si="26"/>
        <v>84193.67300469063</v>
      </c>
      <c r="I56" s="2">
        <f t="shared" si="45"/>
        <v>352560.62973273458</v>
      </c>
      <c r="J56" s="2">
        <f t="shared" si="27"/>
        <v>37626.993494408147</v>
      </c>
      <c r="K56" s="6">
        <f t="shared" si="28"/>
        <v>0.11947594402375576</v>
      </c>
      <c r="L56" s="7">
        <f t="shared" si="29"/>
        <v>1.1194759440237558</v>
      </c>
      <c r="N56">
        <f t="shared" si="30"/>
        <v>2006</v>
      </c>
      <c r="O56" s="2">
        <f t="shared" si="31"/>
        <v>7741.3333118383862</v>
      </c>
      <c r="P56" s="2"/>
      <c r="Q56" s="2"/>
      <c r="R56">
        <f t="shared" si="32"/>
        <v>2006</v>
      </c>
      <c r="S56" s="2">
        <f t="shared" si="59"/>
        <v>65115.714750694853</v>
      </c>
      <c r="T56" s="2"/>
      <c r="U56" s="2">
        <f t="shared" si="60"/>
        <v>76322.042022299356</v>
      </c>
      <c r="V56" s="2">
        <f t="shared" si="60"/>
        <v>33827.55781342827</v>
      </c>
      <c r="W56" s="2"/>
      <c r="X56" s="2">
        <f t="shared" si="61"/>
        <v>86908.57549215082</v>
      </c>
      <c r="Y56" s="2">
        <f t="shared" si="61"/>
        <v>82645.406342322953</v>
      </c>
      <c r="Z56" s="2">
        <f t="shared" si="48"/>
        <v>344819.29642089619</v>
      </c>
      <c r="AA56" s="2">
        <f t="shared" si="68"/>
        <v>37438.180486802361</v>
      </c>
      <c r="AB56" s="6">
        <f t="shared" si="69"/>
        <v>0.12179726907761487</v>
      </c>
      <c r="AC56" s="7">
        <f t="shared" si="36"/>
        <v>1.1217972690776148</v>
      </c>
      <c r="AD56" s="2">
        <f t="shared" si="49"/>
        <v>0</v>
      </c>
      <c r="AE56" s="2"/>
      <c r="AG56">
        <f t="shared" si="14"/>
        <v>2006</v>
      </c>
      <c r="AH56" s="6">
        <f t="shared" si="53"/>
        <v>0.18884011256496727</v>
      </c>
      <c r="AI56" s="7"/>
      <c r="AJ56" s="6">
        <f t="shared" si="54"/>
        <v>0.22133924294404483</v>
      </c>
      <c r="AK56" s="6">
        <f t="shared" si="55"/>
        <v>9.8102276074878925E-2</v>
      </c>
      <c r="AL56" s="7"/>
      <c r="AM56" s="6">
        <f t="shared" si="65"/>
        <v>0.2520409280867732</v>
      </c>
      <c r="AN56" s="6">
        <f t="shared" si="15"/>
        <v>0.23967744032933594</v>
      </c>
      <c r="AO56" s="6">
        <f t="shared" si="37"/>
        <v>1.0000000000000002</v>
      </c>
      <c r="AP56" s="7">
        <f t="shared" si="38"/>
        <v>0.7603225596706642</v>
      </c>
      <c r="AQ56" s="7">
        <f t="shared" si="39"/>
        <v>0</v>
      </c>
      <c r="AR56" s="7"/>
      <c r="AS56">
        <f t="shared" si="40"/>
        <v>2006</v>
      </c>
      <c r="AT56" s="2">
        <f>S56</f>
        <v>65115.714750694853</v>
      </c>
      <c r="AU56" s="2"/>
      <c r="AV56" s="2">
        <f t="shared" si="66"/>
        <v>76322.042022299356</v>
      </c>
      <c r="AW56" s="2">
        <f t="shared" si="66"/>
        <v>33827.55781342827</v>
      </c>
      <c r="AX56" s="2"/>
      <c r="AY56" s="2">
        <f t="shared" si="67"/>
        <v>86908.57549215082</v>
      </c>
      <c r="AZ56" s="2">
        <f t="shared" si="67"/>
        <v>82645.406342322953</v>
      </c>
      <c r="BA56" s="2">
        <f t="shared" si="64"/>
        <v>344819.29642089619</v>
      </c>
      <c r="BB56" s="2">
        <f t="shared" si="21"/>
        <v>0</v>
      </c>
      <c r="BC56" s="2"/>
      <c r="BM56" s="24"/>
      <c r="BN56">
        <f t="shared" si="5"/>
        <v>2006</v>
      </c>
      <c r="BO56" s="1" t="b">
        <f t="shared" si="41"/>
        <v>1</v>
      </c>
      <c r="BQ56" s="1" t="b">
        <f t="shared" si="62"/>
        <v>1</v>
      </c>
      <c r="BR56" s="1" t="b">
        <f t="shared" si="63"/>
        <v>1</v>
      </c>
      <c r="BT56" s="28" t="b">
        <f t="shared" si="70"/>
        <v>0</v>
      </c>
      <c r="BU56" s="28" t="b">
        <f t="shared" si="43"/>
        <v>0</v>
      </c>
      <c r="BV56" s="1" t="b">
        <f t="shared" si="44"/>
        <v>1</v>
      </c>
      <c r="CH56" s="2"/>
    </row>
    <row r="57" spans="1:86" x14ac:dyDescent="0.3">
      <c r="A57">
        <f t="shared" si="9"/>
        <v>2007</v>
      </c>
      <c r="B57" s="2">
        <f t="shared" si="52"/>
        <v>68625.451775757305</v>
      </c>
      <c r="C57" s="2"/>
      <c r="D57" s="2">
        <f t="shared" si="57"/>
        <v>80917.392172462001</v>
      </c>
      <c r="E57" s="2">
        <f t="shared" si="58"/>
        <v>34218.604381751502</v>
      </c>
      <c r="F57" s="2"/>
      <c r="G57" s="2">
        <f t="shared" si="51"/>
        <v>100398.52458004246</v>
      </c>
      <c r="H57" s="2">
        <f t="shared" si="26"/>
        <v>88364.468461211698</v>
      </c>
      <c r="I57" s="2">
        <f t="shared" si="45"/>
        <v>372524.441371225</v>
      </c>
      <c r="J57" s="2">
        <f t="shared" si="27"/>
        <v>19963.811638490413</v>
      </c>
      <c r="K57" s="6">
        <f t="shared" si="28"/>
        <v>5.6625187144759663E-2</v>
      </c>
      <c r="L57" s="7">
        <f t="shared" si="29"/>
        <v>1.0566251871447596</v>
      </c>
      <c r="N57">
        <f t="shared" si="30"/>
        <v>2007</v>
      </c>
      <c r="O57" s="2">
        <f t="shared" si="31"/>
        <v>8058.7279776237592</v>
      </c>
      <c r="P57" s="2"/>
      <c r="Q57" s="2"/>
      <c r="R57">
        <f t="shared" si="32"/>
        <v>2007</v>
      </c>
      <c r="S57" s="2">
        <f t="shared" si="59"/>
        <v>67013.706180232548</v>
      </c>
      <c r="T57" s="2"/>
      <c r="U57" s="2">
        <f t="shared" si="60"/>
        <v>79305.646576937244</v>
      </c>
      <c r="V57" s="2">
        <f t="shared" si="60"/>
        <v>32606.858786226749</v>
      </c>
      <c r="W57" s="2"/>
      <c r="X57" s="2">
        <f t="shared" si="61"/>
        <v>98786.778984517703</v>
      </c>
      <c r="Y57" s="2">
        <f t="shared" si="61"/>
        <v>86752.722865686941</v>
      </c>
      <c r="Z57" s="2">
        <f t="shared" si="48"/>
        <v>364465.71339360118</v>
      </c>
      <c r="AA57" s="2">
        <f t="shared" si="68"/>
        <v>19646.416972704988</v>
      </c>
      <c r="AB57" s="6">
        <f t="shared" si="69"/>
        <v>5.6975978944995051E-2</v>
      </c>
      <c r="AC57" s="7">
        <f t="shared" si="36"/>
        <v>1.0569759789449951</v>
      </c>
      <c r="AD57" s="2">
        <f t="shared" si="49"/>
        <v>0</v>
      </c>
      <c r="AE57" s="2"/>
      <c r="AG57">
        <f t="shared" si="14"/>
        <v>2007</v>
      </c>
      <c r="AH57" s="6">
        <f t="shared" si="53"/>
        <v>0.18386834129404581</v>
      </c>
      <c r="AI57" s="7"/>
      <c r="AJ57" s="6">
        <f t="shared" si="54"/>
        <v>0.21759425828703916</v>
      </c>
      <c r="AK57" s="6">
        <f t="shared" si="55"/>
        <v>8.9464818192687687E-2</v>
      </c>
      <c r="AL57" s="7"/>
      <c r="AM57" s="6">
        <f t="shared" si="65"/>
        <v>0.2710454656068948</v>
      </c>
      <c r="AN57" s="6">
        <f t="shared" si="15"/>
        <v>0.23802711661933254</v>
      </c>
      <c r="AO57" s="6">
        <f t="shared" si="37"/>
        <v>1</v>
      </c>
      <c r="AP57" s="7">
        <f t="shared" si="38"/>
        <v>0.76197288338066749</v>
      </c>
      <c r="AQ57" s="7">
        <f t="shared" si="39"/>
        <v>0</v>
      </c>
      <c r="AR57" s="7"/>
      <c r="AS57">
        <f t="shared" si="40"/>
        <v>2007</v>
      </c>
      <c r="AT57" s="2">
        <f>S57</f>
        <v>67013.706180232548</v>
      </c>
      <c r="AU57" s="2"/>
      <c r="AV57" s="2">
        <f t="shared" si="66"/>
        <v>79305.646576937244</v>
      </c>
      <c r="AW57" s="2">
        <f t="shared" si="66"/>
        <v>32606.858786226749</v>
      </c>
      <c r="AX57" s="2"/>
      <c r="AY57" s="2">
        <f t="shared" si="67"/>
        <v>98786.778984517703</v>
      </c>
      <c r="AZ57" s="2">
        <f t="shared" si="67"/>
        <v>86752.722865686941</v>
      </c>
      <c r="BA57" s="2">
        <f t="shared" si="64"/>
        <v>364465.71339360118</v>
      </c>
      <c r="BB57" s="2">
        <f t="shared" si="21"/>
        <v>0</v>
      </c>
      <c r="BC57" s="2"/>
      <c r="BM57" s="24"/>
      <c r="BN57">
        <f t="shared" si="5"/>
        <v>2007</v>
      </c>
      <c r="BO57" s="1" t="b">
        <f t="shared" si="41"/>
        <v>1</v>
      </c>
      <c r="BQ57" s="1" t="b">
        <f t="shared" si="62"/>
        <v>1</v>
      </c>
      <c r="BR57" s="1" t="b">
        <f t="shared" si="63"/>
        <v>1</v>
      </c>
      <c r="BT57" s="1" t="b">
        <f t="shared" si="70"/>
        <v>0</v>
      </c>
      <c r="BU57" s="1" t="b">
        <f t="shared" si="43"/>
        <v>0</v>
      </c>
      <c r="BV57" s="1" t="b">
        <f t="shared" si="44"/>
        <v>1</v>
      </c>
      <c r="CH57" s="2"/>
    </row>
    <row r="58" spans="1:86" x14ac:dyDescent="0.3">
      <c r="A58">
        <f t="shared" si="9"/>
        <v>2008</v>
      </c>
      <c r="B58" s="2">
        <f t="shared" si="52"/>
        <v>42205.232152310455</v>
      </c>
      <c r="C58" s="2"/>
      <c r="D58" s="2">
        <f t="shared" si="57"/>
        <v>46136.852952599016</v>
      </c>
      <c r="E58" s="2">
        <f t="shared" si="58"/>
        <v>20845.564822034761</v>
      </c>
      <c r="F58" s="2"/>
      <c r="G58" s="2">
        <f t="shared" si="51"/>
        <v>55220.821584555546</v>
      </c>
      <c r="H58" s="2">
        <f t="shared" si="26"/>
        <v>91133.735370404131</v>
      </c>
      <c r="I58" s="2">
        <f t="shared" si="45"/>
        <v>255542.20688190393</v>
      </c>
      <c r="J58" s="2">
        <f t="shared" si="27"/>
        <v>-116982.23448932107</v>
      </c>
      <c r="K58" s="6">
        <f t="shared" si="28"/>
        <v>-0.31402566247390701</v>
      </c>
      <c r="L58" s="7">
        <f t="shared" si="29"/>
        <v>0.68597433752609294</v>
      </c>
      <c r="N58">
        <f t="shared" si="30"/>
        <v>2008</v>
      </c>
      <c r="O58" s="2">
        <f t="shared" si="31"/>
        <v>8058.7279776237592</v>
      </c>
      <c r="P58" s="2"/>
      <c r="Q58" s="2"/>
      <c r="R58">
        <f t="shared" si="32"/>
        <v>2008</v>
      </c>
      <c r="S58" s="2">
        <f t="shared" si="59"/>
        <v>40593.486556785705</v>
      </c>
      <c r="T58" s="2"/>
      <c r="U58" s="2">
        <f t="shared" si="60"/>
        <v>44525.107357074266</v>
      </c>
      <c r="V58" s="2">
        <f t="shared" si="60"/>
        <v>19233.819226510008</v>
      </c>
      <c r="W58" s="2"/>
      <c r="X58" s="2">
        <f t="shared" si="61"/>
        <v>53609.075989030796</v>
      </c>
      <c r="Y58" s="2">
        <f t="shared" si="61"/>
        <v>89521.989774879374</v>
      </c>
      <c r="Z58" s="2">
        <f t="shared" si="48"/>
        <v>247483.47890428017</v>
      </c>
      <c r="AA58" s="2">
        <f t="shared" si="68"/>
        <v>-116982.23448932101</v>
      </c>
      <c r="AB58" s="6">
        <f t="shared" si="69"/>
        <v>-0.32096910680590462</v>
      </c>
      <c r="AC58" s="7">
        <f t="shared" si="36"/>
        <v>0.67903089319409538</v>
      </c>
      <c r="AD58" s="2">
        <f t="shared" si="49"/>
        <v>0</v>
      </c>
      <c r="AE58" s="2"/>
      <c r="AG58">
        <f t="shared" si="14"/>
        <v>2008</v>
      </c>
      <c r="AH58" s="6">
        <f t="shared" si="53"/>
        <v>0.16402503608124142</v>
      </c>
      <c r="AI58" s="7"/>
      <c r="AJ58" s="6">
        <f t="shared" si="54"/>
        <v>0.17991143309527888</v>
      </c>
      <c r="AK58" s="6">
        <f t="shared" si="55"/>
        <v>7.7717588712049424E-2</v>
      </c>
      <c r="AL58" s="7"/>
      <c r="AM58" s="6">
        <f t="shared" si="65"/>
        <v>0.21661678681090998</v>
      </c>
      <c r="AN58" s="6">
        <f t="shared" si="15"/>
        <v>0.36172915530052019</v>
      </c>
      <c r="AO58" s="6">
        <f t="shared" si="37"/>
        <v>0.99999999999999989</v>
      </c>
      <c r="AP58" s="7">
        <f t="shared" si="38"/>
        <v>0.6382708446994797</v>
      </c>
      <c r="AQ58" s="7">
        <f t="shared" si="39"/>
        <v>0</v>
      </c>
      <c r="AR58" s="7"/>
      <c r="AS58">
        <f t="shared" si="40"/>
        <v>2008</v>
      </c>
      <c r="AT58" s="40">
        <v>0</v>
      </c>
      <c r="AU58" s="40"/>
      <c r="AV58" s="40">
        <v>0</v>
      </c>
      <c r="AW58" s="40">
        <v>0</v>
      </c>
      <c r="AX58" s="40"/>
      <c r="AY58" s="40">
        <v>0</v>
      </c>
      <c r="AZ58" s="40">
        <f>Z58</f>
        <v>247483.47890428017</v>
      </c>
      <c r="BA58" s="2">
        <f t="shared" si="64"/>
        <v>247483.47890428017</v>
      </c>
      <c r="BB58" s="2">
        <f t="shared" si="21"/>
        <v>0</v>
      </c>
      <c r="BC58" s="2"/>
      <c r="BM58" s="24"/>
      <c r="BN58">
        <f t="shared" si="5"/>
        <v>2008</v>
      </c>
      <c r="BO58" s="1" t="b">
        <f t="shared" si="41"/>
        <v>1</v>
      </c>
      <c r="BQ58" s="1" t="b">
        <f t="shared" si="62"/>
        <v>1</v>
      </c>
      <c r="BR58" s="1" t="b">
        <f t="shared" si="63"/>
        <v>1</v>
      </c>
      <c r="BT58" s="1" t="b">
        <f t="shared" si="70"/>
        <v>1</v>
      </c>
      <c r="BU58" s="28" t="b">
        <f t="shared" si="43"/>
        <v>0</v>
      </c>
      <c r="BV58" s="1" t="b">
        <f t="shared" si="44"/>
        <v>1</v>
      </c>
      <c r="CH58" s="2"/>
    </row>
    <row r="59" spans="1:86" x14ac:dyDescent="0.3">
      <c r="A59">
        <f t="shared" si="9"/>
        <v>2009</v>
      </c>
      <c r="B59" s="2">
        <f t="shared" si="52"/>
        <v>0</v>
      </c>
      <c r="C59" s="2"/>
      <c r="D59" s="2">
        <f t="shared" si="57"/>
        <v>0</v>
      </c>
      <c r="E59" s="2">
        <f t="shared" si="58"/>
        <v>0</v>
      </c>
      <c r="F59" s="2"/>
      <c r="G59" s="2">
        <f t="shared" si="51"/>
        <v>0</v>
      </c>
      <c r="H59" s="2">
        <f t="shared" si="26"/>
        <v>262159.24920330395</v>
      </c>
      <c r="I59" s="2">
        <f t="shared" si="45"/>
        <v>262159.24920330395</v>
      </c>
      <c r="J59" s="2">
        <f t="shared" si="27"/>
        <v>6617.0423214000184</v>
      </c>
      <c r="K59" s="6">
        <f t="shared" si="28"/>
        <v>2.5894126853408656E-2</v>
      </c>
      <c r="L59" s="7">
        <f t="shared" si="29"/>
        <v>1.0258941268534087</v>
      </c>
      <c r="N59">
        <f t="shared" si="30"/>
        <v>2009</v>
      </c>
      <c r="O59" s="2">
        <f t="shared" si="31"/>
        <v>8284.372360997224</v>
      </c>
      <c r="P59" s="2"/>
      <c r="Q59" s="2"/>
      <c r="R59">
        <f t="shared" si="32"/>
        <v>2009</v>
      </c>
      <c r="S59" s="40">
        <v>0</v>
      </c>
      <c r="T59" s="40"/>
      <c r="U59" s="40">
        <v>0</v>
      </c>
      <c r="V59" s="40">
        <v>0</v>
      </c>
      <c r="W59" s="40"/>
      <c r="X59" s="40">
        <v>0</v>
      </c>
      <c r="Y59" s="40">
        <f>H59-($O59)</f>
        <v>253874.87684230672</v>
      </c>
      <c r="Z59" s="2">
        <f t="shared" si="48"/>
        <v>253874.87684230672</v>
      </c>
      <c r="AA59" s="2">
        <f t="shared" si="68"/>
        <v>6391.3979380265519</v>
      </c>
      <c r="AB59" s="6">
        <f t="shared" si="69"/>
        <v>2.5825553957476773E-2</v>
      </c>
      <c r="AC59" s="7">
        <f t="shared" si="36"/>
        <v>1.0258255539574768</v>
      </c>
      <c r="AD59" s="2">
        <f t="shared" si="49"/>
        <v>0</v>
      </c>
      <c r="AE59" s="2"/>
      <c r="AG59">
        <f t="shared" si="14"/>
        <v>2009</v>
      </c>
      <c r="AH59" s="38">
        <f t="shared" si="53"/>
        <v>0</v>
      </c>
      <c r="AI59" s="64"/>
      <c r="AJ59" s="38">
        <f t="shared" si="54"/>
        <v>0</v>
      </c>
      <c r="AK59" s="38">
        <f t="shared" si="55"/>
        <v>0</v>
      </c>
      <c r="AL59" s="64"/>
      <c r="AM59" s="38">
        <f t="shared" si="65"/>
        <v>0</v>
      </c>
      <c r="AN59" s="38">
        <f t="shared" si="15"/>
        <v>1</v>
      </c>
      <c r="AO59" s="6">
        <f t="shared" si="37"/>
        <v>1</v>
      </c>
      <c r="AP59" s="7">
        <f t="shared" si="38"/>
        <v>0</v>
      </c>
      <c r="AQ59" s="7">
        <f t="shared" si="39"/>
        <v>0</v>
      </c>
      <c r="AR59" s="7"/>
      <c r="AS59">
        <f t="shared" si="40"/>
        <v>2009</v>
      </c>
      <c r="AT59" s="40">
        <f>$Z59*AT$37</f>
        <v>50774.975368461346</v>
      </c>
      <c r="AU59" s="40"/>
      <c r="AV59" s="40">
        <f>$Z59*AV$37</f>
        <v>50774.975368461346</v>
      </c>
      <c r="AW59" s="40">
        <f>$Z59*AW$37</f>
        <v>25387.487684230673</v>
      </c>
      <c r="AX59" s="40"/>
      <c r="AY59" s="40">
        <f>$Z59*AY$37</f>
        <v>50774.975368461346</v>
      </c>
      <c r="AZ59" s="40">
        <f>$Z59*AZ$37</f>
        <v>76162.463052692008</v>
      </c>
      <c r="BA59" s="2">
        <f t="shared" si="64"/>
        <v>253874.87684230672</v>
      </c>
      <c r="BB59" s="2">
        <f t="shared" si="21"/>
        <v>0</v>
      </c>
      <c r="BC59" s="2"/>
      <c r="BM59" s="24"/>
      <c r="BN59">
        <f t="shared" si="5"/>
        <v>2009</v>
      </c>
      <c r="BO59" s="1" t="b">
        <f t="shared" si="41"/>
        <v>0</v>
      </c>
      <c r="BQ59" s="1" t="b">
        <f t="shared" si="62"/>
        <v>0</v>
      </c>
      <c r="BR59" s="1" t="b">
        <f t="shared" si="63"/>
        <v>0</v>
      </c>
      <c r="BT59" s="1" t="b">
        <f t="shared" si="70"/>
        <v>0</v>
      </c>
      <c r="BU59" s="1" t="b">
        <f t="shared" si="43"/>
        <v>0</v>
      </c>
      <c r="BV59" s="1" t="b">
        <f t="shared" si="44"/>
        <v>1</v>
      </c>
      <c r="CH59" s="2"/>
    </row>
    <row r="60" spans="1:86" x14ac:dyDescent="0.3">
      <c r="A60">
        <f t="shared" si="9"/>
        <v>2010</v>
      </c>
      <c r="B60" s="2">
        <f t="shared" si="52"/>
        <v>58345.524195898935</v>
      </c>
      <c r="C60" s="2"/>
      <c r="D60" s="2">
        <f t="shared" si="57"/>
        <v>63702.2840972716</v>
      </c>
      <c r="E60" s="2">
        <f t="shared" si="58"/>
        <v>32424.899270299418</v>
      </c>
      <c r="F60" s="2"/>
      <c r="G60" s="2">
        <f t="shared" si="51"/>
        <v>56421.152629434248</v>
      </c>
      <c r="H60" s="2">
        <f t="shared" si="26"/>
        <v>81052.093180674841</v>
      </c>
      <c r="I60" s="2">
        <f t="shared" si="45"/>
        <v>291945.95337357902</v>
      </c>
      <c r="J60" s="2">
        <f t="shared" si="27"/>
        <v>29786.704170275072</v>
      </c>
      <c r="K60" s="6">
        <f t="shared" si="28"/>
        <v>0.1136206495128293</v>
      </c>
      <c r="L60" s="7">
        <f t="shared" si="29"/>
        <v>1.1136206495128294</v>
      </c>
      <c r="N60">
        <f t="shared" si="30"/>
        <v>2010</v>
      </c>
      <c r="O60" s="2">
        <f t="shared" si="31"/>
        <v>8400.3535740511852</v>
      </c>
      <c r="P60" s="2"/>
      <c r="Q60" s="2"/>
      <c r="R60">
        <f t="shared" si="32"/>
        <v>2010</v>
      </c>
      <c r="S60" s="2">
        <f t="shared" si="59"/>
        <v>56665.453481088698</v>
      </c>
      <c r="T60" s="2"/>
      <c r="U60" s="2">
        <f t="shared" si="60"/>
        <v>62022.213382461363</v>
      </c>
      <c r="V60" s="2">
        <f t="shared" si="60"/>
        <v>30744.828555489181</v>
      </c>
      <c r="W60" s="2"/>
      <c r="X60" s="2">
        <f t="shared" si="61"/>
        <v>54741.08191462401</v>
      </c>
      <c r="Y60" s="2">
        <f t="shared" si="61"/>
        <v>79372.022465864604</v>
      </c>
      <c r="Z60" s="2">
        <f t="shared" si="48"/>
        <v>283545.59979952784</v>
      </c>
      <c r="AA60" s="2">
        <f t="shared" si="68"/>
        <v>29670.722957221122</v>
      </c>
      <c r="AB60" s="6">
        <f t="shared" si="69"/>
        <v>0.11687144205155425</v>
      </c>
      <c r="AC60" s="7">
        <f t="shared" si="36"/>
        <v>1.1168714420515542</v>
      </c>
      <c r="AD60" s="2">
        <f t="shared" si="49"/>
        <v>0</v>
      </c>
      <c r="AE60" s="2"/>
      <c r="AG60">
        <f t="shared" si="14"/>
        <v>2010</v>
      </c>
      <c r="AH60" s="6">
        <f t="shared" si="53"/>
        <v>0.19984599839021397</v>
      </c>
      <c r="AI60" s="7"/>
      <c r="AJ60" s="6">
        <f t="shared" si="54"/>
        <v>0.21873805633489729</v>
      </c>
      <c r="AK60" s="6">
        <f t="shared" si="55"/>
        <v>0.10842992653466096</v>
      </c>
      <c r="AL60" s="7"/>
      <c r="AM60" s="6">
        <f t="shared" si="65"/>
        <v>0.19305918326127086</v>
      </c>
      <c r="AN60" s="6">
        <f t="shared" si="15"/>
        <v>0.27992683547895697</v>
      </c>
      <c r="AO60" s="6">
        <f t="shared" si="37"/>
        <v>1.0000000000000002</v>
      </c>
      <c r="AP60" s="7">
        <f t="shared" si="38"/>
        <v>0.7200731645210432</v>
      </c>
      <c r="AQ60" s="7">
        <f t="shared" si="39"/>
        <v>0</v>
      </c>
      <c r="AR60" s="7"/>
      <c r="AS60">
        <f t="shared" si="40"/>
        <v>2010</v>
      </c>
      <c r="AT60" s="2">
        <f>S60</f>
        <v>56665.453481088698</v>
      </c>
      <c r="AU60" s="2"/>
      <c r="AV60" s="2">
        <f t="shared" ref="AV60:AW60" si="71">U60</f>
        <v>62022.213382461363</v>
      </c>
      <c r="AW60" s="2">
        <f t="shared" si="71"/>
        <v>30744.828555489181</v>
      </c>
      <c r="AX60" s="2"/>
      <c r="AY60" s="2">
        <f t="shared" ref="AY60:AZ60" si="72">X60</f>
        <v>54741.08191462401</v>
      </c>
      <c r="AZ60" s="2">
        <f t="shared" si="72"/>
        <v>79372.022465864604</v>
      </c>
      <c r="BA60" s="2">
        <f t="shared" si="64"/>
        <v>283545.59979952784</v>
      </c>
      <c r="BB60" s="2">
        <f t="shared" si="21"/>
        <v>0</v>
      </c>
      <c r="BC60" s="2"/>
      <c r="BM60" s="24"/>
      <c r="BN60">
        <f t="shared" si="5"/>
        <v>2010</v>
      </c>
      <c r="BO60" s="1" t="b">
        <f t="shared" si="41"/>
        <v>1</v>
      </c>
      <c r="BQ60" s="1" t="b">
        <f t="shared" si="62"/>
        <v>1</v>
      </c>
      <c r="BR60" s="1" t="b">
        <f t="shared" si="63"/>
        <v>1</v>
      </c>
      <c r="BT60" s="1" t="b">
        <f t="shared" si="70"/>
        <v>1</v>
      </c>
      <c r="BU60" s="28" t="b">
        <f t="shared" si="43"/>
        <v>1</v>
      </c>
      <c r="BV60" s="1" t="b">
        <f t="shared" si="44"/>
        <v>1</v>
      </c>
      <c r="CH60" s="2"/>
    </row>
    <row r="61" spans="1:86" x14ac:dyDescent="0.3">
      <c r="A61">
        <f t="shared" si="9"/>
        <v>2011</v>
      </c>
      <c r="B61" s="2">
        <f t="shared" si="52"/>
        <v>57781.762914666149</v>
      </c>
      <c r="C61" s="2"/>
      <c r="D61" s="2">
        <f t="shared" si="57"/>
        <v>60713.544680091429</v>
      </c>
      <c r="E61" s="2">
        <f t="shared" si="58"/>
        <v>29883.973355935483</v>
      </c>
      <c r="F61" s="2"/>
      <c r="G61" s="2">
        <f t="shared" si="51"/>
        <v>46770.780387854757</v>
      </c>
      <c r="H61" s="2">
        <f t="shared" si="26"/>
        <v>85372.547364283979</v>
      </c>
      <c r="I61" s="2">
        <f t="shared" si="45"/>
        <v>280522.60870283179</v>
      </c>
      <c r="J61" s="2">
        <f t="shared" si="27"/>
        <v>-11423.344670747232</v>
      </c>
      <c r="K61" s="6">
        <f t="shared" si="28"/>
        <v>-3.9128285693789788E-2</v>
      </c>
      <c r="L61" s="7">
        <f t="shared" si="29"/>
        <v>0.96087171430621021</v>
      </c>
      <c r="N61">
        <f t="shared" si="30"/>
        <v>2011</v>
      </c>
      <c r="O61" s="2">
        <f t="shared" si="31"/>
        <v>8652.3641812727201</v>
      </c>
      <c r="P61" s="2"/>
      <c r="Q61" s="2"/>
      <c r="R61">
        <f t="shared" si="32"/>
        <v>2011</v>
      </c>
      <c r="S61" s="2">
        <f t="shared" si="59"/>
        <v>56051.290078411606</v>
      </c>
      <c r="T61" s="2"/>
      <c r="U61" s="2">
        <f t="shared" si="60"/>
        <v>58983.071843836886</v>
      </c>
      <c r="V61" s="2">
        <f t="shared" si="60"/>
        <v>28153.50051968094</v>
      </c>
      <c r="W61" s="2"/>
      <c r="X61" s="2">
        <f t="shared" si="61"/>
        <v>45040.307551600214</v>
      </c>
      <c r="Y61" s="2">
        <f t="shared" si="61"/>
        <v>83642.074528029436</v>
      </c>
      <c r="Z61" s="2">
        <f t="shared" si="48"/>
        <v>271870.2445215591</v>
      </c>
      <c r="AA61" s="2">
        <f t="shared" si="68"/>
        <v>-11675.355277968745</v>
      </c>
      <c r="AB61" s="6">
        <f t="shared" si="69"/>
        <v>-4.1176287998203623E-2</v>
      </c>
      <c r="AC61" s="7">
        <f t="shared" si="36"/>
        <v>0.95882371200179639</v>
      </c>
      <c r="AD61" s="2">
        <f t="shared" si="49"/>
        <v>0</v>
      </c>
      <c r="AE61" s="2"/>
      <c r="AG61">
        <f t="shared" si="14"/>
        <v>2011</v>
      </c>
      <c r="AH61" s="6">
        <f t="shared" si="53"/>
        <v>0.20616927084849399</v>
      </c>
      <c r="AI61" s="7"/>
      <c r="AJ61" s="6">
        <f t="shared" si="54"/>
        <v>0.21695302458581331</v>
      </c>
      <c r="AK61" s="6">
        <f t="shared" si="55"/>
        <v>0.10355491668176429</v>
      </c>
      <c r="AL61" s="7"/>
      <c r="AM61" s="6">
        <f t="shared" si="65"/>
        <v>0.16566839681504222</v>
      </c>
      <c r="AN61" s="6">
        <f t="shared" si="15"/>
        <v>0.30765439106888609</v>
      </c>
      <c r="AO61" s="6">
        <f t="shared" si="37"/>
        <v>0.99999999999999978</v>
      </c>
      <c r="AP61" s="7">
        <f t="shared" si="38"/>
        <v>0.69234560893111374</v>
      </c>
      <c r="AQ61" s="7">
        <f t="shared" si="39"/>
        <v>0</v>
      </c>
      <c r="AR61" s="7"/>
      <c r="AS61">
        <f t="shared" si="40"/>
        <v>2011</v>
      </c>
      <c r="AT61" s="2">
        <f t="shared" ref="AT61:AT64" si="73">S61</f>
        <v>56051.290078411606</v>
      </c>
      <c r="AU61" s="2"/>
      <c r="AV61" s="2">
        <f t="shared" ref="AV61:AV64" si="74">U61</f>
        <v>58983.071843836886</v>
      </c>
      <c r="AW61" s="2">
        <f t="shared" ref="AW61:AW64" si="75">V61</f>
        <v>28153.50051968094</v>
      </c>
      <c r="AX61" s="2"/>
      <c r="AY61" s="2">
        <f t="shared" ref="AY61:AY64" si="76">X61</f>
        <v>45040.307551600214</v>
      </c>
      <c r="AZ61" s="2">
        <f t="shared" ref="AZ61:AZ64" si="77">Y61</f>
        <v>83642.074528029436</v>
      </c>
      <c r="BA61" s="2">
        <f t="shared" ref="BA61:BA64" si="78">Z61</f>
        <v>271870.2445215591</v>
      </c>
      <c r="BB61" s="2">
        <f t="shared" ref="BB61:BB64" si="79">SUM(AT61:AZ61)-Z61</f>
        <v>0</v>
      </c>
      <c r="BC61" s="2"/>
      <c r="BM61" s="24"/>
      <c r="BN61">
        <f t="shared" si="5"/>
        <v>2011</v>
      </c>
      <c r="BO61" s="1" t="b">
        <f t="shared" si="41"/>
        <v>1</v>
      </c>
      <c r="BQ61" s="1" t="b">
        <f t="shared" si="62"/>
        <v>1</v>
      </c>
      <c r="BR61" s="1" t="b">
        <f t="shared" si="63"/>
        <v>1</v>
      </c>
      <c r="BT61" s="1" t="b">
        <f t="shared" si="70"/>
        <v>1</v>
      </c>
      <c r="BU61" s="1" t="b">
        <f t="shared" si="43"/>
        <v>1</v>
      </c>
      <c r="BV61" s="1" t="b">
        <f t="shared" si="44"/>
        <v>1</v>
      </c>
      <c r="CH61" s="2"/>
    </row>
    <row r="62" spans="1:86" x14ac:dyDescent="0.3">
      <c r="A62">
        <f t="shared" si="9"/>
        <v>2012</v>
      </c>
      <c r="B62" s="2">
        <f t="shared" si="52"/>
        <v>64918.604168816317</v>
      </c>
      <c r="C62" s="2"/>
      <c r="D62" s="2">
        <f t="shared" si="57"/>
        <v>68302.39719516311</v>
      </c>
      <c r="E62" s="2">
        <f t="shared" si="58"/>
        <v>33232.392013431381</v>
      </c>
      <c r="F62" s="2"/>
      <c r="G62" s="2">
        <f t="shared" si="51"/>
        <v>53210.619341460493</v>
      </c>
      <c r="H62" s="2">
        <f t="shared" si="26"/>
        <v>87029.578546414632</v>
      </c>
      <c r="I62" s="2">
        <f t="shared" si="45"/>
        <v>306693.59126528591</v>
      </c>
      <c r="J62" s="2">
        <f t="shared" si="27"/>
        <v>26170.982562454126</v>
      </c>
      <c r="K62" s="6">
        <f t="shared" si="28"/>
        <v>9.3293666002436326E-2</v>
      </c>
      <c r="L62" s="7">
        <f t="shared" si="29"/>
        <v>1.0932936660024364</v>
      </c>
      <c r="N62">
        <f t="shared" si="30"/>
        <v>2012</v>
      </c>
      <c r="O62" s="2">
        <f t="shared" si="31"/>
        <v>8808.1067365356284</v>
      </c>
      <c r="P62" s="2"/>
      <c r="Q62" s="2"/>
      <c r="R62">
        <f t="shared" si="32"/>
        <v>2012</v>
      </c>
      <c r="S62" s="2">
        <f t="shared" si="59"/>
        <v>63156.982821509191</v>
      </c>
      <c r="T62" s="2"/>
      <c r="U62" s="2">
        <f t="shared" si="60"/>
        <v>66540.775847855984</v>
      </c>
      <c r="V62" s="2">
        <f t="shared" si="60"/>
        <v>31470.770666124256</v>
      </c>
      <c r="W62" s="2"/>
      <c r="X62" s="2">
        <f t="shared" si="61"/>
        <v>51448.997994153367</v>
      </c>
      <c r="Y62" s="2">
        <f t="shared" si="61"/>
        <v>85267.957199107506</v>
      </c>
      <c r="Z62" s="2">
        <f t="shared" si="48"/>
        <v>297885.4845287503</v>
      </c>
      <c r="AA62" s="2">
        <f t="shared" si="68"/>
        <v>26015.240007191198</v>
      </c>
      <c r="AB62" s="6">
        <f t="shared" si="69"/>
        <v>9.5689912858882981E-2</v>
      </c>
      <c r="AC62" s="7">
        <f t="shared" si="36"/>
        <v>1.0956899128588831</v>
      </c>
      <c r="AD62" s="2">
        <f t="shared" si="49"/>
        <v>0</v>
      </c>
      <c r="AE62" s="2"/>
      <c r="AG62">
        <f t="shared" si="14"/>
        <v>2012</v>
      </c>
      <c r="AH62" s="6">
        <f t="shared" si="53"/>
        <v>0.21201765813269635</v>
      </c>
      <c r="AI62" s="7"/>
      <c r="AJ62" s="6">
        <f t="shared" si="54"/>
        <v>0.22337703347016841</v>
      </c>
      <c r="AK62" s="6">
        <f t="shared" si="55"/>
        <v>0.10564721109492956</v>
      </c>
      <c r="AL62" s="7"/>
      <c r="AM62" s="6">
        <f t="shared" si="65"/>
        <v>0.17271401483541501</v>
      </c>
      <c r="AN62" s="6">
        <f t="shared" si="15"/>
        <v>0.28624408246679073</v>
      </c>
      <c r="AO62" s="6">
        <f t="shared" si="37"/>
        <v>1</v>
      </c>
      <c r="AP62" s="7">
        <f t="shared" si="38"/>
        <v>0.71375591753320933</v>
      </c>
      <c r="AQ62" s="7">
        <f t="shared" si="39"/>
        <v>0</v>
      </c>
      <c r="AR62" s="7"/>
      <c r="AS62">
        <f t="shared" si="40"/>
        <v>2012</v>
      </c>
      <c r="AT62" s="2">
        <f t="shared" si="73"/>
        <v>63156.982821509191</v>
      </c>
      <c r="AU62" s="2"/>
      <c r="AV62" s="2">
        <f t="shared" si="74"/>
        <v>66540.775847855984</v>
      </c>
      <c r="AW62" s="2">
        <f t="shared" si="75"/>
        <v>31470.770666124256</v>
      </c>
      <c r="AX62" s="2"/>
      <c r="AY62" s="2">
        <f t="shared" si="76"/>
        <v>51448.997994153367</v>
      </c>
      <c r="AZ62" s="2">
        <f t="shared" si="77"/>
        <v>85267.957199107506</v>
      </c>
      <c r="BA62" s="2">
        <f t="shared" si="78"/>
        <v>297885.4845287503</v>
      </c>
      <c r="BB62" s="2">
        <f t="shared" si="79"/>
        <v>0</v>
      </c>
      <c r="BC62" s="2"/>
      <c r="BM62" s="24"/>
      <c r="BN62">
        <f t="shared" si="5"/>
        <v>2012</v>
      </c>
      <c r="BO62" s="1" t="b">
        <f t="shared" si="41"/>
        <v>1</v>
      </c>
      <c r="BQ62" s="1" t="b">
        <f t="shared" si="62"/>
        <v>1</v>
      </c>
      <c r="BR62" s="1" t="b">
        <f t="shared" si="63"/>
        <v>1</v>
      </c>
      <c r="BT62" s="1" t="b">
        <f t="shared" si="70"/>
        <v>1</v>
      </c>
      <c r="BU62" s="1" t="b">
        <f t="shared" si="43"/>
        <v>1</v>
      </c>
      <c r="BV62" s="1" t="b">
        <f t="shared" si="44"/>
        <v>1</v>
      </c>
      <c r="CH62" s="2"/>
    </row>
    <row r="63" spans="1:86" x14ac:dyDescent="0.3">
      <c r="A63">
        <f t="shared" si="9"/>
        <v>2013</v>
      </c>
      <c r="B63" s="2">
        <f t="shared" si="52"/>
        <v>83480.899893470851</v>
      </c>
      <c r="C63" s="2"/>
      <c r="D63" s="2">
        <f t="shared" ref="D63:E63" si="80">AV62*(1+(D29/100))</f>
        <v>89830.047394605586</v>
      </c>
      <c r="E63" s="2">
        <f t="shared" si="80"/>
        <v>43310.074590720193</v>
      </c>
      <c r="F63" s="2"/>
      <c r="G63" s="2">
        <f t="shared" ref="G63:H63" si="81">AY62*(1+(G29/100))</f>
        <v>59186.927292474029</v>
      </c>
      <c r="H63" s="2">
        <f t="shared" si="81"/>
        <v>83340.901366407677</v>
      </c>
      <c r="I63" s="2">
        <f t="shared" ref="I63:I64" si="82">SUM(B63:H63)</f>
        <v>359148.85053767834</v>
      </c>
      <c r="J63" s="2">
        <f t="shared" ref="J63:J64" si="83">I63-I62</f>
        <v>52455.259272392432</v>
      </c>
      <c r="K63" s="6">
        <f t="shared" ref="K63:K64" si="84">(J63/I62)</f>
        <v>0.1710347420563455</v>
      </c>
      <c r="L63" s="7">
        <f t="shared" ref="L63:L64" si="85">K63+1</f>
        <v>1.1710347420563454</v>
      </c>
      <c r="N63">
        <f t="shared" ref="N63:N64" si="86">A63</f>
        <v>2013</v>
      </c>
      <c r="O63" s="2">
        <f t="shared" si="31"/>
        <v>8909.892487381605</v>
      </c>
      <c r="P63" s="2"/>
      <c r="Q63" s="2"/>
      <c r="R63">
        <f t="shared" ref="R63:R64" si="87">A63</f>
        <v>2013</v>
      </c>
      <c r="S63" s="2">
        <f t="shared" ref="S63:S64" si="88">B63-($O63/5)</f>
        <v>81698.921395994534</v>
      </c>
      <c r="T63" s="2"/>
      <c r="U63" s="2">
        <f t="shared" ref="U63:U64" si="89">D63-($O63/5)</f>
        <v>88048.068897129269</v>
      </c>
      <c r="V63" s="2">
        <f t="shared" ref="V63:V64" si="90">E63-($O63/5)</f>
        <v>41528.096093243868</v>
      </c>
      <c r="W63" s="2"/>
      <c r="X63" s="2">
        <f t="shared" ref="X63:X64" si="91">G63-($O63/5)</f>
        <v>57404.948794997705</v>
      </c>
      <c r="Y63" s="2">
        <f t="shared" ref="Y63:Y64" si="92">H63-($O63/5)</f>
        <v>81558.92286893136</v>
      </c>
      <c r="Z63" s="2">
        <f t="shared" ref="Z63:Z64" si="93">SUM(S63:Y63)</f>
        <v>350238.95805029676</v>
      </c>
      <c r="AA63" s="2">
        <f t="shared" ref="AA63:AA64" si="94">Z63-Z62</f>
        <v>52353.473521546461</v>
      </c>
      <c r="AB63" s="6">
        <f t="shared" ref="AB63:AB64" si="95">(AA63/Z62)</f>
        <v>0.17575033440910609</v>
      </c>
      <c r="AC63" s="7">
        <f t="shared" ref="AC63:AC64" si="96">AB63+1</f>
        <v>1.175750334409106</v>
      </c>
      <c r="AD63" s="2">
        <f t="shared" ref="AD63:AD64" si="97">Z63-(I63-O63)</f>
        <v>0</v>
      </c>
      <c r="AE63" s="2"/>
      <c r="AG63">
        <f t="shared" ref="AG63:AG64" si="98">A63</f>
        <v>2013</v>
      </c>
      <c r="AH63" s="6">
        <f t="shared" ref="AH63:AH64" si="99">S63/$Z63</f>
        <v>0.23326623014982245</v>
      </c>
      <c r="AI63" s="7"/>
      <c r="AJ63" s="6">
        <f t="shared" ref="AJ63:AJ64" si="100">U63/$Z63</f>
        <v>0.25139427488955968</v>
      </c>
      <c r="AK63" s="6">
        <f t="shared" ref="AK63:AK64" si="101">V63/$Z63</f>
        <v>0.11857075045112526</v>
      </c>
      <c r="AL63" s="7"/>
      <c r="AM63" s="6">
        <f t="shared" ref="AM63:AM64" si="102">X63/$Z63</f>
        <v>0.16390223724556066</v>
      </c>
      <c r="AN63" s="6">
        <f t="shared" ref="AN63:AN64" si="103">Y63/$Z63</f>
        <v>0.23286650726393188</v>
      </c>
      <c r="AO63" s="6">
        <f t="shared" ref="AO63:AO64" si="104">SUM(AH63:AN63)</f>
        <v>0.99999999999999989</v>
      </c>
      <c r="AP63" s="7">
        <f t="shared" ref="AP63:AP64" si="105">SUM(AH63:AM63)</f>
        <v>0.76713349273606801</v>
      </c>
      <c r="AQ63" s="7">
        <f t="shared" ref="AQ63:AQ64" si="106">AO63-(AP63+AN63)</f>
        <v>0</v>
      </c>
      <c r="AR63" s="7"/>
      <c r="AS63">
        <f t="shared" si="40"/>
        <v>2013</v>
      </c>
      <c r="AT63" s="2">
        <f t="shared" si="73"/>
        <v>81698.921395994534</v>
      </c>
      <c r="AU63" s="2"/>
      <c r="AV63" s="2">
        <f t="shared" si="74"/>
        <v>88048.068897129269</v>
      </c>
      <c r="AW63" s="2">
        <f t="shared" si="75"/>
        <v>41528.096093243868</v>
      </c>
      <c r="AX63" s="2"/>
      <c r="AY63" s="2">
        <f t="shared" si="76"/>
        <v>57404.948794997705</v>
      </c>
      <c r="AZ63" s="2">
        <f t="shared" si="77"/>
        <v>81558.92286893136</v>
      </c>
      <c r="BA63" s="2">
        <f t="shared" si="78"/>
        <v>350238.95805029676</v>
      </c>
      <c r="BB63" s="2">
        <f t="shared" si="79"/>
        <v>0</v>
      </c>
      <c r="BC63" s="2"/>
      <c r="BM63" s="24"/>
      <c r="BO63" s="1"/>
      <c r="BQ63" s="1"/>
      <c r="BR63" s="1"/>
      <c r="BT63" s="1"/>
      <c r="BU63" s="1"/>
      <c r="BV63" s="1"/>
      <c r="CH63" s="2"/>
    </row>
    <row r="64" spans="1:86" x14ac:dyDescent="0.3">
      <c r="A64">
        <f t="shared" si="9"/>
        <v>2014</v>
      </c>
      <c r="B64" s="2">
        <f t="shared" si="52"/>
        <v>92736.445676593401</v>
      </c>
      <c r="C64" s="2"/>
      <c r="D64" s="2">
        <f t="shared" ref="D64:E64" si="107">AV63*(1+(D30/100))</f>
        <v>100022.60626713886</v>
      </c>
      <c r="E64" s="2">
        <f t="shared" si="107"/>
        <v>44588.716775315945</v>
      </c>
      <c r="F64" s="2"/>
      <c r="G64" s="2">
        <f t="shared" ref="G64:H64" si="108">AY63*(1+(G30/100))</f>
        <v>54970.978966089802</v>
      </c>
      <c r="H64" s="2">
        <f t="shared" si="108"/>
        <v>86256.716826181815</v>
      </c>
      <c r="I64" s="2">
        <f t="shared" si="82"/>
        <v>378575.46451131976</v>
      </c>
      <c r="J64" s="2">
        <f t="shared" si="83"/>
        <v>19426.613973641419</v>
      </c>
      <c r="K64" s="6">
        <f t="shared" si="84"/>
        <v>5.4090703463363504E-2</v>
      </c>
      <c r="L64" s="7">
        <f t="shared" si="85"/>
        <v>1.0540907034633635</v>
      </c>
      <c r="N64">
        <f t="shared" si="86"/>
        <v>2014</v>
      </c>
      <c r="O64" s="2">
        <f t="shared" si="31"/>
        <v>9024.8301004688274</v>
      </c>
      <c r="P64" s="2"/>
      <c r="R64">
        <f t="shared" si="87"/>
        <v>2014</v>
      </c>
      <c r="S64" s="2">
        <f t="shared" si="88"/>
        <v>90931.479656499636</v>
      </c>
      <c r="T64" s="2"/>
      <c r="U64" s="2">
        <f t="shared" si="89"/>
        <v>98217.640247045099</v>
      </c>
      <c r="V64" s="2">
        <f t="shared" si="90"/>
        <v>42783.75075522218</v>
      </c>
      <c r="W64" s="2"/>
      <c r="X64" s="2">
        <f t="shared" si="91"/>
        <v>53166.012945996037</v>
      </c>
      <c r="Y64" s="2">
        <f t="shared" si="92"/>
        <v>84451.75080608805</v>
      </c>
      <c r="Z64" s="2">
        <f t="shared" si="93"/>
        <v>369550.63441085094</v>
      </c>
      <c r="AA64" s="2">
        <f t="shared" si="94"/>
        <v>19311.676360554178</v>
      </c>
      <c r="AB64" s="6">
        <f t="shared" si="95"/>
        <v>5.5138573013287936E-2</v>
      </c>
      <c r="AC64" s="7">
        <f t="shared" si="96"/>
        <v>1.0551385730132878</v>
      </c>
      <c r="AD64" s="2">
        <f t="shared" si="97"/>
        <v>0</v>
      </c>
      <c r="AE64" s="2"/>
      <c r="AG64">
        <f t="shared" si="98"/>
        <v>2014</v>
      </c>
      <c r="AH64" s="6">
        <f t="shared" si="99"/>
        <v>0.24605959559903182</v>
      </c>
      <c r="AI64" s="7"/>
      <c r="AJ64" s="6">
        <f t="shared" si="100"/>
        <v>0.26577586696238986</v>
      </c>
      <c r="AK64" s="6">
        <f t="shared" si="101"/>
        <v>0.11577236451894977</v>
      </c>
      <c r="AL64" s="7"/>
      <c r="AM64" s="6">
        <f t="shared" si="102"/>
        <v>0.14386665316041181</v>
      </c>
      <c r="AN64" s="6">
        <f t="shared" si="103"/>
        <v>0.22852551975921689</v>
      </c>
      <c r="AO64" s="6">
        <f t="shared" si="104"/>
        <v>1.0000000000000002</v>
      </c>
      <c r="AP64" s="7">
        <f t="shared" si="105"/>
        <v>0.77147448024078324</v>
      </c>
      <c r="AQ64" s="7">
        <f t="shared" si="106"/>
        <v>0</v>
      </c>
      <c r="AR64" s="7"/>
      <c r="AS64">
        <f t="shared" si="40"/>
        <v>2014</v>
      </c>
      <c r="AT64" s="2">
        <f t="shared" si="73"/>
        <v>90931.479656499636</v>
      </c>
      <c r="AU64" s="2"/>
      <c r="AV64" s="2">
        <f t="shared" si="74"/>
        <v>98217.640247045099</v>
      </c>
      <c r="AW64" s="2">
        <f t="shared" si="75"/>
        <v>42783.75075522218</v>
      </c>
      <c r="AX64" s="2"/>
      <c r="AY64" s="2">
        <f t="shared" si="76"/>
        <v>53166.012945996037</v>
      </c>
      <c r="AZ64" s="2">
        <f t="shared" si="77"/>
        <v>84451.75080608805</v>
      </c>
      <c r="BA64" s="2">
        <f t="shared" si="78"/>
        <v>369550.63441085094</v>
      </c>
      <c r="BB64" s="2">
        <f t="shared" si="79"/>
        <v>0</v>
      </c>
      <c r="BC64" s="2"/>
      <c r="BM64" s="24"/>
      <c r="BN64">
        <f t="shared" si="5"/>
        <v>2014</v>
      </c>
      <c r="BO64" s="1" t="b">
        <f t="shared" si="41"/>
        <v>1</v>
      </c>
      <c r="BQ64" s="1" t="b">
        <f t="shared" si="62"/>
        <v>0</v>
      </c>
      <c r="BR64" s="1" t="b">
        <f t="shared" si="63"/>
        <v>1</v>
      </c>
      <c r="BT64" s="1" t="b">
        <f t="shared" si="70"/>
        <v>0</v>
      </c>
      <c r="BU64" s="28" t="b">
        <f t="shared" si="43"/>
        <v>0</v>
      </c>
      <c r="BV64" s="1" t="b">
        <f t="shared" si="44"/>
        <v>1</v>
      </c>
      <c r="CH64" t="s">
        <v>44</v>
      </c>
    </row>
    <row r="65" spans="1:86" x14ac:dyDescent="0.3">
      <c r="A65">
        <f t="shared" si="9"/>
        <v>2015</v>
      </c>
      <c r="B65" s="2">
        <f t="shared" si="52"/>
        <v>92068.123152205881</v>
      </c>
      <c r="C65" s="2"/>
      <c r="D65" s="2">
        <f t="shared" ref="D65" si="109">AV64*(1+(D31/100))</f>
        <v>96783.662699438253</v>
      </c>
      <c r="E65" s="2">
        <f t="shared" ref="E65" si="110">AW64*(1+(E31/100))</f>
        <v>41166.52497667478</v>
      </c>
      <c r="F65" s="2"/>
      <c r="G65" s="2">
        <f t="shared" ref="G65" si="111">AY64*(1+(G31/100))</f>
        <v>50842.65818025601</v>
      </c>
      <c r="H65" s="2">
        <f t="shared" ref="H65" si="112">AZ64*(1+(H31/100))</f>
        <v>84705.10605850631</v>
      </c>
      <c r="I65" s="2">
        <f t="shared" ref="I65" si="113">SUM(B65:H65)</f>
        <v>365566.0750670812</v>
      </c>
      <c r="J65" s="2">
        <f t="shared" ref="J65" si="114">I65-I64</f>
        <v>-13009.389444238564</v>
      </c>
      <c r="K65" s="6">
        <f t="shared" ref="K65" si="115">(J65/I64)</f>
        <v>-3.4364058592734212E-2</v>
      </c>
      <c r="L65" s="7">
        <f t="shared" ref="L65" si="116">K65+1</f>
        <v>0.96563594140726583</v>
      </c>
      <c r="N65">
        <f t="shared" ref="N65" si="117">A65</f>
        <v>2015</v>
      </c>
      <c r="O65" s="2">
        <f t="shared" si="31"/>
        <v>9064.5393529108896</v>
      </c>
      <c r="P65" s="2"/>
      <c r="R65">
        <f t="shared" ref="R65" si="118">A65</f>
        <v>2015</v>
      </c>
      <c r="S65" s="2">
        <f t="shared" ref="S65" si="119">B65-($O65/5)</f>
        <v>90255.215281623707</v>
      </c>
      <c r="T65" s="2"/>
      <c r="U65" s="2">
        <f t="shared" ref="U65" si="120">D65-($O65/5)</f>
        <v>94970.754828856079</v>
      </c>
      <c r="V65" s="2">
        <f t="shared" ref="V65" si="121">E65-($O65/5)</f>
        <v>39353.617106092599</v>
      </c>
      <c r="W65" s="2"/>
      <c r="X65" s="2">
        <f t="shared" ref="X65" si="122">G65-($O65/5)</f>
        <v>49029.750309673829</v>
      </c>
      <c r="Y65" s="2">
        <f t="shared" ref="Y65" si="123">H65-($O65/5)</f>
        <v>82892.198187924136</v>
      </c>
      <c r="Z65" s="2">
        <f t="shared" ref="Z65" si="124">SUM(S65:Y65)</f>
        <v>356501.53571417031</v>
      </c>
      <c r="AA65" s="2">
        <f t="shared" ref="AA65" si="125">Z65-Z64</f>
        <v>-13049.098696680623</v>
      </c>
      <c r="AB65" s="6">
        <f t="shared" ref="AB65" si="126">(AA65/Z64)</f>
        <v>-3.5310719240095205E-2</v>
      </c>
      <c r="AC65" s="7">
        <f t="shared" ref="AC65" si="127">AB65+1</f>
        <v>0.96468928075990479</v>
      </c>
      <c r="AD65" s="2">
        <f t="shared" ref="AD65" si="128">Z65-(I65-O65)</f>
        <v>0</v>
      </c>
      <c r="AE65" s="2"/>
      <c r="AG65">
        <f t="shared" ref="AG65" si="129">A65</f>
        <v>2015</v>
      </c>
      <c r="AH65" s="6">
        <f t="shared" ref="AH65" si="130">S65/$Z65</f>
        <v>0.25316921875474607</v>
      </c>
      <c r="AI65" s="7"/>
      <c r="AJ65" s="6">
        <f t="shared" ref="AJ65" si="131">U65/$Z65</f>
        <v>0.26639648168304136</v>
      </c>
      <c r="AK65" s="6">
        <f t="shared" ref="AK65" si="132">V65/$Z65</f>
        <v>0.11038835226125047</v>
      </c>
      <c r="AL65" s="7"/>
      <c r="AM65" s="6">
        <f t="shared" ref="AM65" si="133">X65/$Z65</f>
        <v>0.13753026396212795</v>
      </c>
      <c r="AN65" s="6">
        <f t="shared" ref="AN65" si="134">Y65/$Z65</f>
        <v>0.23251568333883427</v>
      </c>
      <c r="AO65" s="6">
        <f t="shared" ref="AO65" si="135">SUM(AH65:AN65)</f>
        <v>1</v>
      </c>
      <c r="AP65" s="7">
        <f t="shared" ref="AP65" si="136">SUM(AH65:AM65)</f>
        <v>0.76748431666116579</v>
      </c>
      <c r="AQ65" s="7">
        <f t="shared" ref="AQ65" si="137">AO65-(AP65+AN65)</f>
        <v>0</v>
      </c>
      <c r="AR65" s="7"/>
      <c r="AS65">
        <f t="shared" ref="AS65" si="138">A65</f>
        <v>2015</v>
      </c>
      <c r="AT65" s="2">
        <f t="shared" ref="AT65" si="139">S65</f>
        <v>90255.215281623707</v>
      </c>
      <c r="AU65" s="2"/>
      <c r="AV65" s="2">
        <f t="shared" ref="AV65" si="140">U65</f>
        <v>94970.754828856079</v>
      </c>
      <c r="AW65" s="2">
        <f t="shared" ref="AW65" si="141">V65</f>
        <v>39353.617106092599</v>
      </c>
      <c r="AX65" s="2"/>
      <c r="AY65" s="2">
        <f t="shared" ref="AY65" si="142">X65</f>
        <v>49029.750309673829</v>
      </c>
      <c r="AZ65" s="2">
        <f t="shared" ref="AZ65" si="143">Y65</f>
        <v>82892.198187924136</v>
      </c>
      <c r="BA65" s="2">
        <f t="shared" ref="BA65" si="144">Z65</f>
        <v>356501.53571417031</v>
      </c>
      <c r="BB65" s="2">
        <f t="shared" ref="BB65" si="145">SUM(AT65:AZ65)-Z65</f>
        <v>0</v>
      </c>
      <c r="BC65" s="2"/>
      <c r="BM65" s="24"/>
      <c r="BN65">
        <f t="shared" ref="BN65" si="146">AG65</f>
        <v>2015</v>
      </c>
      <c r="BO65" s="1" t="b">
        <f t="shared" ref="BO65" si="147">AND((S65/$Z65)&gt;0.15,(S65/$Z65)&lt;0.25)</f>
        <v>0</v>
      </c>
      <c r="BQ65" s="1" t="b">
        <f t="shared" ref="BQ65" si="148">AND((U65/$Z65)&gt;0.15,(U65/$Z65)&lt;0.25)</f>
        <v>0</v>
      </c>
      <c r="BR65" s="1" t="b">
        <f t="shared" ref="BR65" si="149">AND((V65/$Z65)&gt;0.05,(V65/$Z65)&lt;0.15)</f>
        <v>1</v>
      </c>
      <c r="BT65" s="1" t="b">
        <f t="shared" ref="BT65" si="150">AND((X65/$Z65)&gt;0.15,(X65/$Z65)&lt;0.25)</f>
        <v>0</v>
      </c>
      <c r="BU65" s="28" t="b">
        <f t="shared" ref="BU65" si="151">AND((Y65/$Z65)&gt;0.25,(Y65/$Z65)&lt;0.35)</f>
        <v>0</v>
      </c>
      <c r="BV65" s="1" t="b">
        <f t="shared" ref="BV65" si="152">AND((Z65/$Z65)&gt;0.999,(Z65/$Z65)&lt;1.01)</f>
        <v>1</v>
      </c>
      <c r="CH65" t="s">
        <v>44</v>
      </c>
    </row>
    <row r="66" spans="1:86" x14ac:dyDescent="0.3">
      <c r="A66" s="9" t="s">
        <v>82</v>
      </c>
      <c r="B66" s="10">
        <f>AT65</f>
        <v>90255.215281623707</v>
      </c>
      <c r="C66" s="10"/>
      <c r="D66" s="10">
        <f>AV65</f>
        <v>94970.754828856079</v>
      </c>
      <c r="E66" s="10">
        <f>AW65</f>
        <v>39353.617106092599</v>
      </c>
      <c r="F66" s="10"/>
      <c r="G66" s="10">
        <f>AY65</f>
        <v>49029.750309673829</v>
      </c>
      <c r="H66" s="10">
        <f>AZ65</f>
        <v>82892.198187924136</v>
      </c>
      <c r="I66" s="10">
        <f>SUM(B66:H66)</f>
        <v>356501.53571417031</v>
      </c>
      <c r="J66" s="10"/>
      <c r="K66" s="10"/>
      <c r="N66" t="s">
        <v>43</v>
      </c>
      <c r="O66" s="2">
        <f>O64</f>
        <v>9024.8301004688274</v>
      </c>
      <c r="P66" s="2"/>
      <c r="R66" s="9" t="s">
        <v>82</v>
      </c>
      <c r="S66" s="10">
        <f>S65</f>
        <v>90255.215281623707</v>
      </c>
      <c r="T66" s="10"/>
      <c r="U66" s="10">
        <f>U65</f>
        <v>94970.754828856079</v>
      </c>
      <c r="V66" s="10">
        <f>V65</f>
        <v>39353.617106092599</v>
      </c>
      <c r="W66" s="10"/>
      <c r="X66" s="10">
        <f>X65</f>
        <v>49029.750309673829</v>
      </c>
      <c r="Y66" s="10">
        <f>Y65</f>
        <v>82892.198187924136</v>
      </c>
      <c r="Z66" s="10">
        <f>SUM(S66:Y66)</f>
        <v>356501.53571417031</v>
      </c>
      <c r="AA66" s="44"/>
      <c r="AB66" s="44"/>
      <c r="AC66" s="44"/>
      <c r="AD66" s="44"/>
      <c r="AE66" s="44"/>
      <c r="AK66" s="7"/>
    </row>
    <row r="67" spans="1:86" x14ac:dyDescent="0.3">
      <c r="A67" s="11" t="s">
        <v>12</v>
      </c>
      <c r="I67" s="6">
        <f>(Z66-Z37)/Z37</f>
        <v>2.5650153571417031</v>
      </c>
      <c r="K67" s="6"/>
      <c r="N67" t="s">
        <v>74</v>
      </c>
      <c r="O67" s="2">
        <f>SUM(O38:O65)</f>
        <v>194718.8452520174</v>
      </c>
      <c r="P67" s="2"/>
    </row>
    <row r="68" spans="1:86" x14ac:dyDescent="0.3">
      <c r="A68" s="1" t="s">
        <v>13</v>
      </c>
      <c r="I68" s="12">
        <f>STDEV(AC38:AC65)</f>
        <v>0.11973078385182531</v>
      </c>
    </row>
    <row r="69" spans="1:86" x14ac:dyDescent="0.3">
      <c r="A69" s="1" t="s">
        <v>14</v>
      </c>
      <c r="I69" s="13">
        <f>((1+I67)^(1/28))-1</f>
        <v>4.6445172322548745E-2</v>
      </c>
    </row>
    <row r="70" spans="1:86" x14ac:dyDescent="0.3">
      <c r="A70" s="1" t="s">
        <v>86</v>
      </c>
      <c r="I70" s="31">
        <f>J58</f>
        <v>-116982.23448932107</v>
      </c>
      <c r="O70" s="2"/>
      <c r="P70" s="2"/>
    </row>
    <row r="71" spans="1:86" x14ac:dyDescent="0.3">
      <c r="A71" s="1" t="s">
        <v>87</v>
      </c>
      <c r="I71" s="32">
        <f>K58</f>
        <v>-0.31402566247390701</v>
      </c>
    </row>
    <row r="72" spans="1:86" x14ac:dyDescent="0.3">
      <c r="A72" s="1" t="s">
        <v>46</v>
      </c>
      <c r="I72" s="2">
        <f>O67</f>
        <v>194718.8452520174</v>
      </c>
    </row>
    <row r="73" spans="1:86" x14ac:dyDescent="0.3">
      <c r="A73" s="61" t="s">
        <v>5</v>
      </c>
      <c r="I73" s="60">
        <f>I66-Z66</f>
        <v>0</v>
      </c>
    </row>
    <row r="74" spans="1:86" x14ac:dyDescent="0.3">
      <c r="A74" s="61" t="s">
        <v>157</v>
      </c>
      <c r="I74" s="60">
        <f>((SUM(AA38:AA65)))-(I66-I37)</f>
        <v>0</v>
      </c>
    </row>
    <row r="75" spans="1:86" x14ac:dyDescent="0.3">
      <c r="A75" s="61" t="s">
        <v>156</v>
      </c>
      <c r="I75" s="60">
        <f>(SUM(O38:O65))-I72</f>
        <v>0</v>
      </c>
    </row>
  </sheetData>
  <phoneticPr fontId="12"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11</vt:i4>
      </vt:variant>
      <vt:variant>
        <vt:lpstr>Charts</vt:lpstr>
      </vt:variant>
      <vt:variant>
        <vt:i4>1</vt:i4>
      </vt:variant>
      <vt:variant>
        <vt:lpstr>Named Ranges</vt:lpstr>
      </vt:variant>
      <vt:variant>
        <vt:i4>1</vt:i4>
      </vt:variant>
    </vt:vector>
  </HeadingPairs>
  <TitlesOfParts>
    <vt:vector size="13" baseType="lpstr">
      <vt:lpstr>Instructions</vt:lpstr>
      <vt:lpstr>Notes</vt:lpstr>
      <vt:lpstr>Summary</vt:lpstr>
      <vt:lpstr>Non-Rebalanced Portfolio</vt:lpstr>
      <vt:lpstr>Rebalanced Portfolio</vt:lpstr>
      <vt:lpstr>Panic Portfolio</vt:lpstr>
      <vt:lpstr>4% Withdrawals-No Rebalancing</vt:lpstr>
      <vt:lpstr>4% Withdrawals-Rebalanced</vt:lpstr>
      <vt:lpstr>4% Withdrawals-Panic</vt:lpstr>
      <vt:lpstr>Chart Data</vt:lpstr>
      <vt:lpstr>Panic Chart</vt:lpstr>
      <vt:lpstr>Chart2</vt:lpstr>
      <vt:lpstr>Summary!Print_Area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Rotblut</dc:creator>
  <cp:lastModifiedBy>Jean Henrich</cp:lastModifiedBy>
  <cp:lastPrinted>2016-02-16T20:39:45Z</cp:lastPrinted>
  <dcterms:created xsi:type="dcterms:W3CDTF">2014-01-10T23:26:08Z</dcterms:created>
  <dcterms:modified xsi:type="dcterms:W3CDTF">2016-02-29T22:12:55Z</dcterms:modified>
</cp:coreProperties>
</file>